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7"/>
  </bookViews>
  <sheets>
    <sheet name="Tabela 24." sheetId="1" r:id="rId1"/>
    <sheet name="Tabela 25." sheetId="2" r:id="rId2"/>
    <sheet name="Tabela 26." sheetId="3" r:id="rId3"/>
    <sheet name="Tabela 60." sheetId="4" r:id="rId4"/>
    <sheet name="Tabela 64." sheetId="5" r:id="rId5"/>
    <sheet name="Tabela 65,66,67,68,69,70,71." sheetId="6" r:id="rId6"/>
    <sheet name="Tabela 76." sheetId="7" r:id="rId7"/>
    <sheet name="Harmonogram" sheetId="8" r:id="rId8"/>
  </sheets>
  <definedNames/>
  <calcPr fullCalcOnLoad="1"/>
</workbook>
</file>

<file path=xl/sharedStrings.xml><?xml version="1.0" encoding="utf-8"?>
<sst xmlns="http://schemas.openxmlformats.org/spreadsheetml/2006/main" count="851" uniqueCount="349">
  <si>
    <t>Tabela nr 26  Ilość i procent odzysku surowców wtórnych w poszczególnych gminach Powiatu Poznańskiego</t>
  </si>
  <si>
    <t>L.P.</t>
  </si>
  <si>
    <t>Gmina</t>
  </si>
  <si>
    <t>Ilość zebranych surowców wtórnych w pojemnikach w 2003 r. [Mg/a]</t>
  </si>
  <si>
    <t>Ilość  surowców wtórnych w 2003 r. [Mg/a]</t>
  </si>
  <si>
    <t>UDZIAŁ PROCENTOWY ODZYSKANYCH SUROWCÓW W MASIE ODPADÓW POWSTAJĄCYCH [%]</t>
  </si>
  <si>
    <t>Ilość odpadów opakowaniowych ze szkła [Mg/a]</t>
  </si>
  <si>
    <t>Ilość odpadów opakowaniowych z papieru [Mg/a]</t>
  </si>
  <si>
    <t>Ilość odpadów opakowaniowych z tworzyw sztucznych  [Mg/a]</t>
  </si>
  <si>
    <t>Ilość odpadów opakowaniowych z papieru i tektury  [Mg/a]</t>
  </si>
  <si>
    <t>Procent odzyskanych odpadów opakowaniowych ze szkła [%]</t>
  </si>
  <si>
    <t>Procent odzyskanych odpadów opakowaniowych z  papieru i tektury [%]</t>
  </si>
  <si>
    <t>Procent odzyskanych odpadów opakowaniowych z tworzyw sztucznych  [%]</t>
  </si>
  <si>
    <t>Gminy miejskie</t>
  </si>
  <si>
    <t xml:space="preserve">m. Luboń </t>
  </si>
  <si>
    <t>m.Puszczykowo</t>
  </si>
  <si>
    <t>Gminy miejsko-wiejskie</t>
  </si>
  <si>
    <t xml:space="preserve">m. Buk </t>
  </si>
  <si>
    <t>g.  Buk</t>
  </si>
  <si>
    <t>m. Kostrzyn</t>
  </si>
  <si>
    <t xml:space="preserve">g. Kostrzyn </t>
  </si>
  <si>
    <t>m. Kórnik</t>
  </si>
  <si>
    <t>g. Kórnik</t>
  </si>
  <si>
    <t xml:space="preserve">m. Mosina </t>
  </si>
  <si>
    <t xml:space="preserve">g.  Mosina </t>
  </si>
  <si>
    <t xml:space="preserve">m. Murowana  Goślina </t>
  </si>
  <si>
    <t xml:space="preserve">g.  Murowana  Goślina </t>
  </si>
  <si>
    <t>m. Pobiedziska</t>
  </si>
  <si>
    <t xml:space="preserve">g. Pobiedziska </t>
  </si>
  <si>
    <t>m. Stęszew</t>
  </si>
  <si>
    <t>g. Stęszew</t>
  </si>
  <si>
    <t>m. Swarzędz</t>
  </si>
  <si>
    <t>g. Swarzędz</t>
  </si>
  <si>
    <t>Gminy wiejskie</t>
  </si>
  <si>
    <t>g. Czerwonak</t>
  </si>
  <si>
    <t>g. Dopiewo</t>
  </si>
  <si>
    <t>g. Kleszczewo</t>
  </si>
  <si>
    <t>g. Komorniki</t>
  </si>
  <si>
    <t>g. Rokietnica</t>
  </si>
  <si>
    <t>g. Suchy Las</t>
  </si>
  <si>
    <t>g. Tarnowo Podgórne</t>
  </si>
  <si>
    <t>SUMA</t>
  </si>
  <si>
    <t>Tabela. 24. Zestawienie charakterystyki zbiórki odpadów w poszczególnych gminach Powiatu Poznańskiego na rok 2003.</t>
  </si>
  <si>
    <t>l.p.</t>
  </si>
  <si>
    <t>Nazwa miasto/gmina</t>
  </si>
  <si>
    <t>Ilość mieszkańców</t>
  </si>
  <si>
    <t>Pow. miasta i gminy (ha)</t>
  </si>
  <si>
    <t>Składowiska-miejscowość i gmina w której się znajduje</t>
  </si>
  <si>
    <t>Ilość wytwarzanych odpadów zmieszanych (Mg/rok)</t>
  </si>
  <si>
    <t>Rok wprowadzenia selektywnej zbiórki</t>
  </si>
  <si>
    <t>Rodzaj zbieranych surowców wtórnych-stan obecny</t>
  </si>
  <si>
    <t>Zbiórka odpadów wielkogabarytowych</t>
  </si>
  <si>
    <t>Zbiórka odpadów zielonych</t>
  </si>
  <si>
    <t>Buk</t>
  </si>
  <si>
    <t>Wysoczka gm. Buk</t>
  </si>
  <si>
    <t>Wrzesień 2000 r.</t>
  </si>
  <si>
    <t>Tworzywa sztuczne (PET), szkło białe, szkło kolorowe, makulatura</t>
  </si>
  <si>
    <t>1 x w roku nieodpłatnie</t>
  </si>
  <si>
    <t>*</t>
  </si>
  <si>
    <t>Czerwonak</t>
  </si>
  <si>
    <t>Owińska gm. Czerwonak</t>
  </si>
  <si>
    <t>Lipiec 2000 r.</t>
  </si>
  <si>
    <t>Tworzywa sztuczne (PET), szkło makulatura, metale żelazne</t>
  </si>
  <si>
    <t xml:space="preserve">tak </t>
  </si>
  <si>
    <t>Dopiewo</t>
  </si>
  <si>
    <t>Dopiewo gm. Dopiewo</t>
  </si>
  <si>
    <t>Tworzywa sztuczne (PET), szkło białe, szkło kolorowe, makulatura, złom</t>
  </si>
  <si>
    <t>bak danych</t>
  </si>
  <si>
    <t>Kleszczewo</t>
  </si>
  <si>
    <t>Do Rabowi gm. Swarzędz</t>
  </si>
  <si>
    <t>Komorniki</t>
  </si>
  <si>
    <t>Do Dopiewa Gm. Dopiewo</t>
  </si>
  <si>
    <t>Kostrzyn</t>
  </si>
  <si>
    <t>Do Rabowic gm. Swarzędz</t>
  </si>
  <si>
    <t>nieregularnie</t>
  </si>
  <si>
    <t>Kórnik</t>
  </si>
  <si>
    <t>Czmoń Gm. Kórnik</t>
  </si>
  <si>
    <t>Luboń</t>
  </si>
  <si>
    <t>Do Czmonia gm. Kórnik</t>
  </si>
  <si>
    <t>Tworzywa sztuczne (PET), szkło makulatura, złom, alumnium</t>
  </si>
  <si>
    <t>1 x na kwartał</t>
  </si>
  <si>
    <t>Mosina</t>
  </si>
  <si>
    <t xml:space="preserve">Do Srocka Małego gm. Stęszew – docelowo do Piotrowa </t>
  </si>
  <si>
    <t>Tworzywa sztuczne (PET),</t>
  </si>
  <si>
    <t>Od 1999 r. 1 x na miesiąc</t>
  </si>
  <si>
    <t>szkło, makulatura</t>
  </si>
  <si>
    <t>Murowana Goślina</t>
  </si>
  <si>
    <t>Białęgi gm. Murowana Goślina</t>
  </si>
  <si>
    <t>Tworzywa sztuczne – opakowania (PET),</t>
  </si>
  <si>
    <t>tak z części gminy</t>
  </si>
  <si>
    <t>częściowo</t>
  </si>
  <si>
    <t xml:space="preserve">szkło białe, szkło kolorowe, makulatura, papier </t>
  </si>
  <si>
    <t>Pobiedziska</t>
  </si>
  <si>
    <t>Polska Wieś , Borówko gm. Pobiedziska</t>
  </si>
  <si>
    <t>2 x do roku</t>
  </si>
  <si>
    <t>szkło, makulatura, metale</t>
  </si>
  <si>
    <t>Puszczykowo</t>
  </si>
  <si>
    <t>Do Srocka Małego gm. Stęszew, do Czmonia gm. Kórnik</t>
  </si>
  <si>
    <t>od 1995 r. 2 x do roku</t>
  </si>
  <si>
    <t>Rokietnica</t>
  </si>
  <si>
    <t>Rum1998ianek gm. Tarnowo Podgórne</t>
  </si>
  <si>
    <t>Stęszew</t>
  </si>
  <si>
    <t>Srocko Małe gm. Stęszew</t>
  </si>
  <si>
    <t>Od 1998 r. szkło, od listopada 2000 r. makulatura, tworzywa sztuczne</t>
  </si>
  <si>
    <t>tak</t>
  </si>
  <si>
    <t>Suchy Las</t>
  </si>
  <si>
    <t>Suchy Las gm. Suchy las</t>
  </si>
  <si>
    <t>Tworzywa sztuczne (PET), szkło białe, szkło kolorowe, papier, tektura, metale</t>
  </si>
  <si>
    <t>Swarzędz</t>
  </si>
  <si>
    <t>Rabowice gm. Swarzędz</t>
  </si>
  <si>
    <t>Tworzywa sztuczne (PET), szkło białe, szkło kolorowe, makulatura, (aluminium i metale na składowisku w Rabowicach)</t>
  </si>
  <si>
    <t>Tarnowo Podgórne</t>
  </si>
  <si>
    <t>Rumianek gm. Tarnowo Podgórne</t>
  </si>
  <si>
    <t>Szkło, makulatura, plastiki, folia, opony</t>
  </si>
  <si>
    <t>RAZEM</t>
  </si>
  <si>
    <t>10 składowisk na terenie Powiatu Poznańskiego</t>
  </si>
  <si>
    <t xml:space="preserve">UWAGA * </t>
  </si>
  <si>
    <t>traw z terenów zielonych miasta (własność gmin) składowanie jest na terenie składowiska odpadów we wsi Wysoczka</t>
  </si>
  <si>
    <t>Na terenie miasta mieszkańcy ulice zadrzewione jesienią otrzymuja worki na liście, które są składowene na składowisku.</t>
  </si>
  <si>
    <t>Odbierane są one wg, harmonogramu ZGK, koszt ponosi gmina</t>
  </si>
  <si>
    <t>Tabela 25.</t>
  </si>
  <si>
    <t>Ilość odpadów zebranych  w Powiecie Poznańskim w ramach selektywnej zbiórki z podziałem na poszczególne gminy.</t>
  </si>
  <si>
    <t>Ilość zebranych surowców wtórnych z poj. Zakupionych przez Starostwo  Powiatowe w 2003 r. [Mg/a]</t>
  </si>
  <si>
    <t>Ilość zebranych surowców wtórnych z poj. innych niż zakupione przez Starostwo  Powiatowe w 2003 r. [Mg/a]</t>
  </si>
  <si>
    <t>Szkło białe</t>
  </si>
  <si>
    <t>Szkło kolorowe</t>
  </si>
  <si>
    <t>Papier</t>
  </si>
  <si>
    <t>Tworzywa sztuczne</t>
  </si>
  <si>
    <t>Gmina Buk.</t>
  </si>
  <si>
    <t>SZKŁO</t>
  </si>
  <si>
    <t>Gmina Czerwonak</t>
  </si>
  <si>
    <t>Gmina Dopiewo</t>
  </si>
  <si>
    <t>----------------</t>
  </si>
  <si>
    <t>-----------------</t>
  </si>
  <si>
    <t>--------------</t>
  </si>
  <si>
    <t>Gmina Kleszczewo</t>
  </si>
  <si>
    <t>---------------</t>
  </si>
  <si>
    <t>Gmina Komorniki</t>
  </si>
  <si>
    <t xml:space="preserve">RAZEM </t>
  </si>
  <si>
    <t>SZKŁO worki</t>
  </si>
  <si>
    <t>worki</t>
  </si>
  <si>
    <t>Gmina i Miasto Kostrzyn</t>
  </si>
  <si>
    <t>RAZEM 36,111</t>
  </si>
  <si>
    <t>Gmina i Miasto Kórnik</t>
  </si>
  <si>
    <t>-------------</t>
  </si>
  <si>
    <t>Miasto Luboń</t>
  </si>
  <si>
    <t>Gmina i Miasto Mosina</t>
  </si>
  <si>
    <t xml:space="preserve"> Gmina i Miasto Murowana Goślina</t>
  </si>
  <si>
    <t>Gmina i Miasto Pobiedziska</t>
  </si>
  <si>
    <t>Miasto Puszczykowo</t>
  </si>
  <si>
    <t>Gmina Rokietnica</t>
  </si>
  <si>
    <t>Gmina i Miasto Stęszew</t>
  </si>
  <si>
    <t>Gmina Suchy Las</t>
  </si>
  <si>
    <t>------------</t>
  </si>
  <si>
    <t>-</t>
  </si>
  <si>
    <t>Gmina i Miasto Swarzędz</t>
  </si>
  <si>
    <t>Gmina Tarnowo Podgórne</t>
  </si>
  <si>
    <t>Tabela 60. Prognozowana ilość mieszkańców w poszczególnych gminach dla roku: 2006, 2010, 2014.</t>
  </si>
  <si>
    <t>l.p</t>
  </si>
  <si>
    <t>Nazwa</t>
  </si>
  <si>
    <t>Liczba mieszkańców  (dane na rok 2003/2004)</t>
  </si>
  <si>
    <t>Łączna liczba mieszkańców</t>
  </si>
  <si>
    <t>Prognozowana liczba mieszkańców  2006 r</t>
  </si>
  <si>
    <t>Prognozowana liczba mieszkańców  2010 r</t>
  </si>
  <si>
    <t>Prognozowana liczba mieszkańców  2014 r</t>
  </si>
  <si>
    <t xml:space="preserve">Tabela nr 76 Min. ilość pojemników do selektywnej zbiórki odpadów </t>
  </si>
  <si>
    <t>NAZWA SUROWCA</t>
  </si>
  <si>
    <t>Rok 2003</t>
  </si>
  <si>
    <t>ROK 2006</t>
  </si>
  <si>
    <t>ROK 2010</t>
  </si>
  <si>
    <t>ROK 2014</t>
  </si>
  <si>
    <t>ILOŚĆ ODPADÓW POWSTAJĄCYCH W POWIECIE POZNAŃSKIM  [Mg/a]</t>
  </si>
  <si>
    <t>ILOŚĆ ODZYSKANYCH SUROWCÓW WTÓRNYCH W POJEMNIKACH ZAKUPIONYCH PRZEZ POWIAT POZNAŃSKI  [Mg]/rok</t>
  </si>
  <si>
    <t>ILOŚĆ SUROWCÓW WTÓRNYCH ODZYSKANYCH W INNYCH POJEMNIKACH</t>
  </si>
  <si>
    <t>SUMA ODZYSKANYCH SUROWCÓW WTÓRNYCH</t>
  </si>
  <si>
    <t>UDZIAŁ PROCENTOWY PLANOWANEGO ODZYSKU [%]</t>
  </si>
  <si>
    <t xml:space="preserve">ZAKŁADANY ODZYSK W 2006 </t>
  </si>
  <si>
    <t>WYMAGANA DPDATKOWA ILOŚĆ POJEMNIKÓW</t>
  </si>
  <si>
    <t xml:space="preserve">ZAKŁADANY ODZYSK W 2010 </t>
  </si>
  <si>
    <t xml:space="preserve">ZAKŁADANY ODZYSK W 2014 </t>
  </si>
  <si>
    <t>[Mg]/rok</t>
  </si>
  <si>
    <t>[SZT]</t>
  </si>
  <si>
    <t>Odpady opakowaniowe z tworzyw sztucznych  [Mg/a]</t>
  </si>
  <si>
    <t>Odpady opakowaniowe z papieru i tektury  [Mg/a]</t>
  </si>
  <si>
    <t>Odpady opakowaniowe ze szkła [Mg/a]</t>
  </si>
  <si>
    <t>Odpady opakowaniowe metalowe [Mg/a]</t>
  </si>
  <si>
    <t xml:space="preserve">PROWADZI SIĘ W MINIMALNYM ZAKRESIE </t>
  </si>
  <si>
    <t>Odpady opakowaniowe wielomateriałowe [Mg/a]</t>
  </si>
  <si>
    <t>Odpady wielkogabarytowe [Mg/a]</t>
  </si>
  <si>
    <t>zbierane będą w ZZO, GCRO i WCRO</t>
  </si>
  <si>
    <t>Odpady budowlane [Mg/a]</t>
  </si>
  <si>
    <t>Odpady niebezpieczne [Mg/a]</t>
  </si>
  <si>
    <t>Odpady biodegradowalne [Mg/a]</t>
  </si>
  <si>
    <t>policzono w tab.nr 78</t>
  </si>
  <si>
    <t>ZAŁOŻENIA:</t>
  </si>
  <si>
    <t>1. Przyjęto pojemniki dla surowców wtórnych, wielomateriałowych o poj. 1,5 m3</t>
  </si>
  <si>
    <t>2. Przyjęto pojemniki dla odpadów niebezpiecznych o poj. 0,5 m3</t>
  </si>
  <si>
    <t>3. Przyjęto częstotliwość wywozu 1x tydzień  / dla tworzyw sztucznych</t>
  </si>
  <si>
    <t>4. Przyjęto częstotliwość wywozu 1x 2 tygodnie / dla pozostałych odpadów</t>
  </si>
  <si>
    <t>5. Przyjęto wypełninie pojemników - 80%</t>
  </si>
  <si>
    <t>6. Przyjęto następujący ciężar odpadów surowcowych:</t>
  </si>
  <si>
    <t xml:space="preserve">  - tworzywa sztuczne  - 0,02 Mg/m3</t>
  </si>
  <si>
    <t xml:space="preserve">  - papier  - 0,2 Mg/m3</t>
  </si>
  <si>
    <t xml:space="preserve">  - szkło  - 0,67 Mg/m3</t>
  </si>
  <si>
    <t xml:space="preserve">  - metalowe (aluminium)  - 0,083 Mg/m3</t>
  </si>
  <si>
    <t xml:space="preserve">  - opakowania wielomateriałowe  - 0,2 Mg/m3</t>
  </si>
  <si>
    <t xml:space="preserve">  - odpady niebezpieczne  - 0,2 Mg/m8</t>
  </si>
  <si>
    <t>Tabela 65.  Ilość odpadów komunalnych z gospodarstw domowych w odniesieniu do 1995 r.</t>
  </si>
  <si>
    <t>Liczba mieszkańców  (dane na rok 1995)</t>
  </si>
  <si>
    <t>Przyjęty wsk. nagromadzenia odpadów</t>
  </si>
  <si>
    <t>Odpady z gospodarstw domowych (1995) [Mg]</t>
  </si>
  <si>
    <t>Łączna ilość odpadów z gospodarstw domowych (2003/2004) [Mg]</t>
  </si>
  <si>
    <t>Odpady z terenów otwartych w 1995 r.                      [Mg/a]</t>
  </si>
  <si>
    <t>Ilość odpadów organicznych w 1995 r</t>
  </si>
  <si>
    <t xml:space="preserve">ŁĄCZNIE ODPADY ORGANICZNE W 1995 R. </t>
  </si>
  <si>
    <t xml:space="preserve"> </t>
  </si>
  <si>
    <t>Tabela 66 Prognozowana ilość wytwarzanych odpadów dla 2006 r.</t>
  </si>
  <si>
    <t>ODPADY KOMUNALNE  [Mg/a]</t>
  </si>
  <si>
    <t>Ilość odpadów opakowaniowych z twarzyw sztucznych  [Mg/a]</t>
  </si>
  <si>
    <t>Ilość odpadów opakowaniowych metalowe [Mg/a]</t>
  </si>
  <si>
    <t>Ilość odpadów opakowaniowych wielomateriałowych [Mg/a]</t>
  </si>
  <si>
    <t>Ilość odpadów wielkogabarytowych [Mg/a]</t>
  </si>
  <si>
    <t>Ilość odpadów budowlanych [Mg/a]</t>
  </si>
  <si>
    <t>Ilość odpadów nibezpiecznych [Mg/a]</t>
  </si>
  <si>
    <t>Tabela 67 Cele krótkoterminowe do 2006 r.</t>
  </si>
  <si>
    <t>Redukcja odpadów biodegradowalnych o 17% [Mg/a]</t>
  </si>
  <si>
    <t>Odzysk odpadów opakowaniowych z papieru i tektury o 45% [Mg/a]</t>
  </si>
  <si>
    <t>Odzyskodpadów opakowaniowych ze szkła o 35% [Mg/a]</t>
  </si>
  <si>
    <t>Odzysk odpadów opakowaniowych z twarzyw sztucznych o 22% [Mg/a]</t>
  </si>
  <si>
    <t>Odzysk odpadów opakowaniowych metalowe o 35% [Mg/a]</t>
  </si>
  <si>
    <t>Odzysk odpadów opakowaniowych wielomateriałowych o 20% [Mg/a]</t>
  </si>
  <si>
    <t>Redukcja odpadów wielkogabarytowych o 26%                     [Mg/a]</t>
  </si>
  <si>
    <t>Redukcja odpadów budowlanych o 20%                     [Mg/a]</t>
  </si>
  <si>
    <t>Redukcja odpadów nibezpiecznych o 22%                     [Mg/a]</t>
  </si>
  <si>
    <t>Tabela 68. Prognozowana ilość wytworzonych odpadów na 2010 r.</t>
  </si>
  <si>
    <t>Tabela 69. Cele średnioterminowe do 2010 r.</t>
  </si>
  <si>
    <t>Redukcja odpadów biodegradowalnych o 25% [Mg/a]</t>
  </si>
  <si>
    <t>Odzysk odpadów opakowaniowych z papieru i tektury o 50% [Mg/a]</t>
  </si>
  <si>
    <t>Odzysk  odpadów opakowaniowych ze szkła o 45% [Mg/a]</t>
  </si>
  <si>
    <t>Odzysk odpadów opakowaniowych z twarzyw sztucznych o 30% [Mg/a]</t>
  </si>
  <si>
    <t>Odzysk  odpadów opakowaniowych metalowe o 45% [Mg/a]</t>
  </si>
  <si>
    <t>Odzysk odpadów opakowaniowych wielomateriałowych o 30% [Mg/a]</t>
  </si>
  <si>
    <t>Redukcja odpadów wielkogabarytowych o 50%                     [Mg/a]</t>
  </si>
  <si>
    <t>Redukcja odpadów budowlanych o 40%                     [Mg/a]</t>
  </si>
  <si>
    <t>Redukcja odpadów nibezpiecznych o 50%                     [Mg/a]</t>
  </si>
  <si>
    <t>Tabela 70 Prognozowana ilość wytworzonych odpadów na 2014 r.</t>
  </si>
  <si>
    <t>Tabela 71. Cele średnioterminowe do 2014 r.</t>
  </si>
  <si>
    <t>Redukcja odpadów biodegradowalnych o 50% [Mg/a]</t>
  </si>
  <si>
    <t>Odzysk  odpadów opakowaniowych ze szkła o 50% [Mg/a]</t>
  </si>
  <si>
    <t>Odzysk odpadów opakowaniowych z twarzyw sztucznych o 50% [Mg/a]</t>
  </si>
  <si>
    <t>Odzysk  odpadów opakowaniowych metalowe o 50% [Mg/a]</t>
  </si>
  <si>
    <t>Odzysk odpadów opakowaniowych wielomateriałowych o 50% [Mg/a]</t>
  </si>
  <si>
    <t>Redukcja odpadów wielkogabarytowych o 70%                     [Mg/a]</t>
  </si>
  <si>
    <t>Redukcja odpadów budowlanych o 60%                     [Mg/a]</t>
  </si>
  <si>
    <t>Redukcja odpadów nibezpiecznych o 80%                     [Mg/a]</t>
  </si>
  <si>
    <t>Tabela 64.  Wskaźnik nagromadzenia odpadów z prognozą.</t>
  </si>
  <si>
    <t>Odpady z gospodarstw domowych (2003/2004) [Mg/a]</t>
  </si>
  <si>
    <t>Odpady z zakładów przemysłowych [Mg/a]</t>
  </si>
  <si>
    <t>Odpady z terenów otwartych  [Mg/a]</t>
  </si>
  <si>
    <t>Odpady z obiektów użyteczności publicznej [Mg/a]</t>
  </si>
  <si>
    <t>Odpady ze szkolnictwa [Mg/a]</t>
  </si>
  <si>
    <t>Odpady z turystyki [Mg/a]</t>
  </si>
  <si>
    <t>ŁĄCZNIE -2003 R.</t>
  </si>
  <si>
    <t>ŁĄCZNIE -2006 R.</t>
  </si>
  <si>
    <t>ŁĄCZNIE -2010 R.</t>
  </si>
  <si>
    <t>ŁĄCZNIE -2014 R.</t>
  </si>
  <si>
    <r>
      <t> </t>
    </r>
    <r>
      <rPr>
        <b/>
        <i/>
        <sz val="8"/>
        <color indexed="10"/>
        <rFont val="Arial"/>
        <family val="2"/>
      </rPr>
      <t>Gminy miejskie</t>
    </r>
  </si>
  <si>
    <t> 1</t>
  </si>
  <si>
    <t> 2</t>
  </si>
  <si>
    <t> Gminy miejsko – wiejskie</t>
  </si>
  <si>
    <t> 3</t>
  </si>
  <si>
    <t> 4</t>
  </si>
  <si>
    <t> 5</t>
  </si>
  <si>
    <t> 6</t>
  </si>
  <si>
    <t> 7</t>
  </si>
  <si>
    <t> 8</t>
  </si>
  <si>
    <t> 9</t>
  </si>
  <si>
    <t> 10</t>
  </si>
  <si>
    <r>
      <t> </t>
    </r>
    <r>
      <rPr>
        <b/>
        <i/>
        <sz val="8"/>
        <color indexed="10"/>
        <rFont val="Arial"/>
        <family val="2"/>
      </rPr>
      <t>Gminy wiejskie</t>
    </r>
  </si>
  <si>
    <t> 11</t>
  </si>
  <si>
    <t>-----------</t>
  </si>
  <si>
    <t> 12</t>
  </si>
  <si>
    <t> 13</t>
  </si>
  <si>
    <t> 14</t>
  </si>
  <si>
    <t> 15</t>
  </si>
  <si>
    <t> 16</t>
  </si>
  <si>
    <t> -----------</t>
  </si>
  <si>
    <t> 17</t>
  </si>
  <si>
    <t>WSTĘPNY HARMONOGRAM DZIAŁAŃ ORAZ SZACUNKOWY KOSZT WDROŻENIA PROPONOWANEGO SYSTEMU GOSPODARKI ODPADAMI</t>
  </si>
  <si>
    <t>Lp</t>
  </si>
  <si>
    <t>Zakres inwestycji</t>
  </si>
  <si>
    <t>Opis przedsięwzięcia</t>
  </si>
  <si>
    <t>Czas realizacji</t>
  </si>
  <si>
    <t>Okres realizacyjny i szacunkowy koszt [PLN]</t>
  </si>
  <si>
    <t>Działania nieinwestycyjne</t>
  </si>
  <si>
    <t>Plany Gminne Edukacja ekologiczna  itp.</t>
  </si>
  <si>
    <t>Powiat Poznański</t>
  </si>
  <si>
    <t>od 2004 r.</t>
  </si>
  <si>
    <t>Zbieranie odpadów biodegradowalnych</t>
  </si>
  <si>
    <t xml:space="preserve">Zakup pojemników o poj. 240 l dla zabudowy zwartej, wymiana pojemników co ok. 6 lat </t>
  </si>
  <si>
    <t xml:space="preserve">U M. i G. Buk </t>
  </si>
  <si>
    <t>od 2005</t>
  </si>
  <si>
    <t>U.G. Czerwonak</t>
  </si>
  <si>
    <t>U.G. Dopiewo</t>
  </si>
  <si>
    <t>U.G. Kleszczewo</t>
  </si>
  <si>
    <t>U.G. Komorniki</t>
  </si>
  <si>
    <t>U M. i G.  Kostrzyn</t>
  </si>
  <si>
    <t>U M. i G. Kórnik</t>
  </si>
  <si>
    <t>U.M. Lubon</t>
  </si>
  <si>
    <t xml:space="preserve">U M. i G.  Mosina </t>
  </si>
  <si>
    <t xml:space="preserve">U M. i G.  Murowana  Goślina </t>
  </si>
  <si>
    <t>U M. i G.  Pobiedziska</t>
  </si>
  <si>
    <t>U.M. Puszczykowo</t>
  </si>
  <si>
    <t>U.G. Rokietnica</t>
  </si>
  <si>
    <t>U M. i G.  Stęszew</t>
  </si>
  <si>
    <t>U.G. Suchy Las</t>
  </si>
  <si>
    <t>U M. i G.  Swarzędz</t>
  </si>
  <si>
    <t>U.G. Tarnowo Podgórne</t>
  </si>
  <si>
    <t>Zakup  poj. o poj. 120 l dla zabudowy rozproszonej</t>
  </si>
  <si>
    <t>od 2006</t>
  </si>
  <si>
    <t>Zbieranie odpadów surowcowych : papier, szkło białe, kolorowe, tworzywa sztuczne, odpady wielomateriałowe</t>
  </si>
  <si>
    <t>Zakup pojemników o poj. 150 l dla zabudowy zwartej i rozproszonej w centrach ,  wg tab. nr 76</t>
  </si>
  <si>
    <t>Urzędy Gmin Powiatu Poznańskiego</t>
  </si>
  <si>
    <t>Zakup worków komplet/3 os. o dla zabudowy rozproszonej, wymiana  1/m-c</t>
  </si>
  <si>
    <t>Zbiórka odpadów niebezpiecznych</t>
  </si>
  <si>
    <t>Zakup pojemników na przeterminowane leki (przy aptekach i ZOZ-ach) i baterie (sklepy AGD, centra) wg tab. nr 76</t>
  </si>
  <si>
    <t>Dostosowanie obecnie eksploatowanych składowisk do wymogów ochrony środowiska</t>
  </si>
  <si>
    <t xml:space="preserve">Rekultywacja składowisk "dzikich" </t>
  </si>
  <si>
    <t>od chwili obecnej</t>
  </si>
  <si>
    <t>Brak danych odnośnie powierzchni składowisk "dzikich"</t>
  </si>
  <si>
    <t xml:space="preserve">  do końca 2005 r.</t>
  </si>
  <si>
    <t>Rekultywacja składowisk obecnie eksploatowanych       Uwaga: nie szacowano kosztów monitoringu, który powinien trwać 30 lat po zamknięciu</t>
  </si>
  <si>
    <t>od 2005 r.</t>
  </si>
  <si>
    <t>Budowa dodatkowych obiektów gospodarki odpadami</t>
  </si>
  <si>
    <t>Stacja przeładunkowa</t>
  </si>
  <si>
    <t>Gminy Powiatu Poznańskiego, min. 6 szt.</t>
  </si>
  <si>
    <t>od 2008 r.</t>
  </si>
  <si>
    <t>Budowa WCRO, lokalizacja w - Gminnych Planach Gospodarki Odpadami</t>
  </si>
  <si>
    <t>Gminy Powiatu Poznańskiego, min. 17 szt.</t>
  </si>
  <si>
    <t>2008-2010 r.</t>
  </si>
  <si>
    <t>Budowa GCRO, min. 1szt./1gminę</t>
  </si>
  <si>
    <t xml:space="preserve">   2005-2008 r.</t>
  </si>
  <si>
    <t>Budowa ZZO w Rabowicach lu Pobiedziskach</t>
  </si>
  <si>
    <t>Projekt budowlany</t>
  </si>
  <si>
    <t>od 2006 r.</t>
  </si>
  <si>
    <t>Budowa ZZO wg tab. 73</t>
  </si>
  <si>
    <t>Rozbudowa ZZO ewnt. o element spalarni</t>
  </si>
  <si>
    <t>Budowa ZZO w Tarnowie Podgórnym lub w Dopiewie</t>
  </si>
  <si>
    <t>ŁĄCZNIE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</si>
</sst>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26">
    <font>
      <sz val="10"/>
      <name val="Arial CE"/>
      <family val="0"/>
    </font>
    <font>
      <b/>
      <i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i/>
      <sz val="12"/>
      <color indexed="10"/>
      <name val="Arial"/>
      <family val="2"/>
    </font>
    <font>
      <sz val="10"/>
      <name val="Arial"/>
      <family val="2"/>
    </font>
    <font>
      <sz val="10"/>
      <color indexed="12"/>
      <name val="Arial CE"/>
      <family val="2"/>
    </font>
    <font>
      <sz val="12"/>
      <name val="Arial"/>
      <family val="2"/>
    </font>
    <font>
      <b/>
      <sz val="14"/>
      <name val="Arial CE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rial CE"/>
      <family val="0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i/>
      <sz val="8"/>
      <color indexed="10"/>
      <name val="Arial"/>
      <family val="2"/>
    </font>
    <font>
      <i/>
      <sz val="8"/>
      <name val="Arial"/>
      <family val="2"/>
    </font>
    <font>
      <b/>
      <sz val="16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0" fillId="0" borderId="1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164" fontId="0" fillId="0" borderId="1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164" fontId="6" fillId="0" borderId="2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/>
    </xf>
    <xf numFmtId="0" fontId="2" fillId="0" borderId="4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3" fontId="5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justify" vertical="top" wrapText="1"/>
    </xf>
    <xf numFmtId="4" fontId="2" fillId="0" borderId="5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7" fillId="0" borderId="5" xfId="0" applyFont="1" applyBorder="1" applyAlignment="1">
      <alignment horizontal="justify" vertical="top" wrapText="1"/>
    </xf>
    <xf numFmtId="0" fontId="5" fillId="0" borderId="5" xfId="0" applyFont="1" applyBorder="1" applyAlignment="1" quotePrefix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7" fillId="0" borderId="0" xfId="0" applyFont="1" applyAlignment="1">
      <alignment horizontal="justify"/>
    </xf>
    <xf numFmtId="0" fontId="11" fillId="0" borderId="1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3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justify" vertical="top" wrapText="1"/>
    </xf>
    <xf numFmtId="0" fontId="11" fillId="0" borderId="5" xfId="0" applyFont="1" applyBorder="1" applyAlignment="1">
      <alignment horizontal="justify" vertical="top" wrapText="1"/>
    </xf>
    <xf numFmtId="0" fontId="12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5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top" wrapText="1"/>
    </xf>
    <xf numFmtId="0" fontId="17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5" xfId="0" applyBorder="1" applyAlignment="1">
      <alignment/>
    </xf>
    <xf numFmtId="0" fontId="4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3" fontId="7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/>
    </xf>
    <xf numFmtId="3" fontId="17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/>
    </xf>
    <xf numFmtId="0" fontId="9" fillId="0" borderId="1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7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left" vertical="top" wrapText="1"/>
    </xf>
    <xf numFmtId="4" fontId="12" fillId="0" borderId="9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/>
    </xf>
    <xf numFmtId="3" fontId="13" fillId="0" borderId="9" xfId="0" applyNumberFormat="1" applyFont="1" applyBorder="1" applyAlignment="1">
      <alignment horizontal="center"/>
    </xf>
    <xf numFmtId="4" fontId="13" fillId="0" borderId="9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12" fillId="0" borderId="26" xfId="0" applyFont="1" applyBorder="1" applyAlignment="1">
      <alignment horizontal="center" vertical="center" wrapText="1"/>
    </xf>
    <xf numFmtId="0" fontId="17" fillId="0" borderId="12" xfId="0" applyFont="1" applyBorder="1" applyAlignment="1">
      <alignment/>
    </xf>
    <xf numFmtId="2" fontId="17" fillId="0" borderId="1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 vertical="top" wrapText="1"/>
    </xf>
    <xf numFmtId="3" fontId="7" fillId="0" borderId="12" xfId="0" applyNumberFormat="1" applyFont="1" applyBorder="1" applyAlignment="1">
      <alignment horizontal="center" vertical="top" wrapText="1"/>
    </xf>
    <xf numFmtId="2" fontId="13" fillId="0" borderId="9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4" fontId="13" fillId="0" borderId="27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top" wrapText="1"/>
    </xf>
    <xf numFmtId="3" fontId="12" fillId="0" borderId="12" xfId="0" applyNumberFormat="1" applyFont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center" vertical="top" wrapText="1"/>
    </xf>
    <xf numFmtId="1" fontId="17" fillId="0" borderId="1" xfId="0" applyNumberFormat="1" applyFont="1" applyBorder="1" applyAlignment="1">
      <alignment horizontal="center"/>
    </xf>
    <xf numFmtId="3" fontId="17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 vertical="top" wrapText="1"/>
    </xf>
    <xf numFmtId="1" fontId="13" fillId="0" borderId="12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 vertical="top" wrapText="1"/>
    </xf>
    <xf numFmtId="165" fontId="12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justify"/>
    </xf>
    <xf numFmtId="0" fontId="21" fillId="0" borderId="5" xfId="0" applyFont="1" applyBorder="1" applyAlignment="1">
      <alignment horizontal="justify"/>
    </xf>
    <xf numFmtId="0" fontId="21" fillId="0" borderId="5" xfId="0" applyFont="1" applyBorder="1" applyAlignment="1">
      <alignment horizontal="center"/>
    </xf>
    <xf numFmtId="0" fontId="21" fillId="0" borderId="5" xfId="0" applyFont="1" applyBorder="1" applyAlignment="1">
      <alignment horizontal="right"/>
    </xf>
    <xf numFmtId="0" fontId="23" fillId="0" borderId="4" xfId="0" applyFont="1" applyBorder="1" applyAlignment="1">
      <alignment horizontal="justify" vertical="top" wrapText="1"/>
    </xf>
    <xf numFmtId="0" fontId="21" fillId="0" borderId="5" xfId="0" applyFont="1" applyBorder="1" applyAlignment="1">
      <alignment horizontal="justify" vertical="top" wrapText="1"/>
    </xf>
    <xf numFmtId="3" fontId="21" fillId="0" borderId="5" xfId="0" applyNumberFormat="1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3" fontId="20" fillId="0" borderId="5" xfId="0" applyNumberFormat="1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2" fillId="0" borderId="5" xfId="0" applyFont="1" applyBorder="1" applyAlignment="1">
      <alignment horizontal="justify"/>
    </xf>
    <xf numFmtId="0" fontId="21" fillId="0" borderId="4" xfId="0" applyFont="1" applyBorder="1" applyAlignment="1">
      <alignment horizontal="justify" vertical="top" wrapText="1"/>
    </xf>
    <xf numFmtId="0" fontId="21" fillId="0" borderId="5" xfId="0" applyFont="1" applyBorder="1" applyAlignment="1">
      <alignment horizontal="left" vertical="top" wrapText="1"/>
    </xf>
    <xf numFmtId="4" fontId="20" fillId="0" borderId="5" xfId="0" applyNumberFormat="1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10" fillId="0" borderId="1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3" fontId="5" fillId="0" borderId="15" xfId="0" applyNumberFormat="1" applyFont="1" applyBorder="1" applyAlignment="1">
      <alignment horizontal="center" vertical="top" wrapText="1"/>
    </xf>
    <xf numFmtId="3" fontId="5" fillId="0" borderId="4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1" fillId="0" borderId="0" xfId="0" applyFont="1" applyAlignment="1">
      <alignment horizontal="left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164" fontId="0" fillId="0" borderId="15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justify" vertical="top" wrapText="1"/>
    </xf>
    <xf numFmtId="0" fontId="11" fillId="0" borderId="14" xfId="0" applyFont="1" applyBorder="1" applyAlignment="1">
      <alignment horizontal="justify" vertical="top" wrapText="1"/>
    </xf>
    <xf numFmtId="0" fontId="11" fillId="0" borderId="33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33" xfId="0" applyFont="1" applyBorder="1" applyAlignment="1">
      <alignment horizontal="right" vertical="top" wrapText="1"/>
    </xf>
    <xf numFmtId="0" fontId="21" fillId="0" borderId="15" xfId="0" applyFont="1" applyBorder="1" applyAlignment="1">
      <alignment horizontal="justify" vertical="top" wrapText="1"/>
    </xf>
    <xf numFmtId="0" fontId="21" fillId="0" borderId="4" xfId="0" applyFont="1" applyBorder="1" applyAlignment="1">
      <alignment horizontal="justify" vertical="top" wrapText="1"/>
    </xf>
    <xf numFmtId="0" fontId="19" fillId="0" borderId="1" xfId="0" applyFont="1" applyBorder="1" applyAlignment="1">
      <alignment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19" fillId="0" borderId="3" xfId="0" applyFont="1" applyBorder="1" applyAlignment="1">
      <alignment vertical="top" wrapText="1"/>
    </xf>
    <xf numFmtId="0" fontId="4" fillId="0" borderId="34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right" vertical="top" wrapText="1"/>
    </xf>
    <xf numFmtId="0" fontId="12" fillId="0" borderId="36" xfId="0" applyFont="1" applyBorder="1" applyAlignment="1">
      <alignment horizontal="right" vertical="top" wrapText="1"/>
    </xf>
    <xf numFmtId="0" fontId="12" fillId="0" borderId="27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44" fontId="3" fillId="0" borderId="1" xfId="18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0" fillId="0" borderId="1" xfId="18" applyFont="1" applyBorder="1" applyAlignment="1">
      <alignment vertical="center" wrapText="1"/>
    </xf>
    <xf numFmtId="44" fontId="0" fillId="0" borderId="1" xfId="18" applyFont="1" applyBorder="1" applyAlignment="1">
      <alignment horizontal="center"/>
    </xf>
    <xf numFmtId="0" fontId="0" fillId="0" borderId="1" xfId="0" applyFont="1" applyBorder="1" applyAlignment="1">
      <alignment/>
    </xf>
    <xf numFmtId="44" fontId="0" fillId="0" borderId="12" xfId="18" applyFont="1" applyBorder="1" applyAlignment="1">
      <alignment vertical="center" wrapText="1"/>
    </xf>
    <xf numFmtId="0" fontId="0" fillId="0" borderId="0" xfId="0" applyFont="1" applyAlignment="1">
      <alignment/>
    </xf>
    <xf numFmtId="44" fontId="0" fillId="0" borderId="1" xfId="18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top" wrapText="1"/>
    </xf>
    <xf numFmtId="44" fontId="3" fillId="0" borderId="1" xfId="18" applyFont="1" applyBorder="1" applyAlignment="1">
      <alignment vertical="center" wrapText="1"/>
    </xf>
    <xf numFmtId="44" fontId="3" fillId="0" borderId="12" xfId="18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44" fontId="0" fillId="0" borderId="15" xfId="18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4" fontId="0" fillId="0" borderId="17" xfId="18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4" fontId="0" fillId="0" borderId="4" xfId="18" applyFont="1" applyBorder="1" applyAlignment="1">
      <alignment horizontal="center" vertical="center" wrapText="1"/>
    </xf>
    <xf numFmtId="44" fontId="3" fillId="0" borderId="1" xfId="18" applyFont="1" applyBorder="1" applyAlignment="1">
      <alignment/>
    </xf>
    <xf numFmtId="0" fontId="3" fillId="0" borderId="0" xfId="0" applyFont="1" applyAlignment="1">
      <alignment/>
    </xf>
    <xf numFmtId="44" fontId="0" fillId="0" borderId="1" xfId="18" applyFont="1" applyBorder="1" applyAlignment="1">
      <alignment/>
    </xf>
    <xf numFmtId="0" fontId="3" fillId="0" borderId="1" xfId="0" applyFont="1" applyBorder="1" applyAlignment="1">
      <alignment/>
    </xf>
    <xf numFmtId="44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1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44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4" fontId="0" fillId="0" borderId="16" xfId="18" applyBorder="1" applyAlignment="1">
      <alignment horizontal="left"/>
    </xf>
    <xf numFmtId="44" fontId="0" fillId="0" borderId="12" xfId="18" applyBorder="1" applyAlignment="1">
      <alignment horizontal="left"/>
    </xf>
    <xf numFmtId="44" fontId="0" fillId="0" borderId="1" xfId="18" applyBorder="1" applyAlignment="1">
      <alignment/>
    </xf>
    <xf numFmtId="0" fontId="5" fillId="0" borderId="1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44" fontId="3" fillId="0" borderId="16" xfId="18" applyFont="1" applyBorder="1" applyAlignment="1">
      <alignment horizontal="left"/>
    </xf>
    <xf numFmtId="44" fontId="0" fillId="0" borderId="16" xfId="18" applyFont="1" applyBorder="1" applyAlignment="1">
      <alignment horizontal="center" vertical="center" wrapText="1"/>
    </xf>
    <xf numFmtId="44" fontId="0" fillId="0" borderId="14" xfId="18" applyFont="1" applyBorder="1" applyAlignment="1">
      <alignment horizontal="center" vertical="center" wrapText="1"/>
    </xf>
    <xf numFmtId="44" fontId="0" fillId="0" borderId="12" xfId="18" applyFont="1" applyBorder="1" applyAlignment="1">
      <alignment horizontal="center" vertical="center" wrapText="1"/>
    </xf>
    <xf numFmtId="44" fontId="0" fillId="0" borderId="1" xfId="18" applyFont="1" applyBorder="1" applyAlignment="1">
      <alignment horizontal="left" vertical="center" wrapText="1"/>
    </xf>
    <xf numFmtId="44" fontId="0" fillId="0" borderId="16" xfId="18" applyFont="1" applyBorder="1" applyAlignment="1">
      <alignment horizontal="left" vertical="center" wrapText="1"/>
    </xf>
    <xf numFmtId="44" fontId="0" fillId="0" borderId="14" xfId="18" applyFont="1" applyBorder="1" applyAlignment="1">
      <alignment horizontal="left" vertical="center" wrapText="1"/>
    </xf>
    <xf numFmtId="44" fontId="0" fillId="0" borderId="12" xfId="18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44" fontId="3" fillId="0" borderId="16" xfId="18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4" fontId="3" fillId="0" borderId="16" xfId="18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8" fillId="0" borderId="16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31"/>
  <sheetViews>
    <sheetView workbookViewId="0" topLeftCell="A1">
      <selection activeCell="N6" sqref="N6"/>
    </sheetView>
  </sheetViews>
  <sheetFormatPr defaultColWidth="9.00390625" defaultRowHeight="12.75"/>
  <cols>
    <col min="13" max="13" width="39.875" style="0" customWidth="1"/>
  </cols>
  <sheetData>
    <row r="2" spans="2:13" ht="15">
      <c r="B2" s="162" t="s">
        <v>42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2:13" ht="1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2:11" ht="12.75">
      <c r="B4" s="163" t="s">
        <v>43</v>
      </c>
      <c r="C4" s="163" t="s">
        <v>44</v>
      </c>
      <c r="D4" s="163" t="s">
        <v>45</v>
      </c>
      <c r="E4" s="163" t="s">
        <v>46</v>
      </c>
      <c r="F4" s="163" t="s">
        <v>47</v>
      </c>
      <c r="G4" s="163" t="s">
        <v>48</v>
      </c>
      <c r="H4" s="163" t="s">
        <v>49</v>
      </c>
      <c r="I4" s="163" t="s">
        <v>50</v>
      </c>
      <c r="J4" s="163" t="s">
        <v>51</v>
      </c>
      <c r="K4" s="163" t="s">
        <v>52</v>
      </c>
    </row>
    <row r="5" spans="2:11" ht="38.25" customHeight="1"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6" spans="2:11" ht="114.75">
      <c r="B6" s="29">
        <v>1</v>
      </c>
      <c r="C6" s="30" t="s">
        <v>53</v>
      </c>
      <c r="D6" s="31">
        <v>11763</v>
      </c>
      <c r="E6" s="6">
        <v>9032</v>
      </c>
      <c r="F6" s="32" t="s">
        <v>54</v>
      </c>
      <c r="G6" s="6">
        <v>2595</v>
      </c>
      <c r="H6" s="6" t="s">
        <v>55</v>
      </c>
      <c r="I6" s="32" t="s">
        <v>56</v>
      </c>
      <c r="J6" s="6" t="s">
        <v>57</v>
      </c>
      <c r="K6" s="6" t="s">
        <v>58</v>
      </c>
    </row>
    <row r="7" spans="2:11" ht="89.25">
      <c r="B7" s="29">
        <v>2</v>
      </c>
      <c r="C7" s="30" t="s">
        <v>59</v>
      </c>
      <c r="D7" s="31">
        <v>21889</v>
      </c>
      <c r="E7" s="6">
        <v>8224</v>
      </c>
      <c r="F7" s="32" t="s">
        <v>60</v>
      </c>
      <c r="G7" s="6">
        <v>6999.74</v>
      </c>
      <c r="H7" s="6" t="s">
        <v>61</v>
      </c>
      <c r="I7" s="32" t="s">
        <v>62</v>
      </c>
      <c r="J7" s="6" t="s">
        <v>63</v>
      </c>
      <c r="K7" s="6">
        <v>16.86</v>
      </c>
    </row>
    <row r="8" spans="2:11" ht="114.75">
      <c r="B8" s="29">
        <v>3</v>
      </c>
      <c r="C8" s="30" t="s">
        <v>64</v>
      </c>
      <c r="D8" s="31">
        <v>10198</v>
      </c>
      <c r="E8" s="6">
        <v>10808</v>
      </c>
      <c r="F8" s="32" t="s">
        <v>65</v>
      </c>
      <c r="G8" s="6">
        <v>950</v>
      </c>
      <c r="H8" s="6">
        <v>1995</v>
      </c>
      <c r="I8" s="32" t="s">
        <v>66</v>
      </c>
      <c r="J8" s="6" t="s">
        <v>67</v>
      </c>
      <c r="K8" s="32" t="s">
        <v>67</v>
      </c>
    </row>
    <row r="9" spans="2:11" ht="114.75">
      <c r="B9" s="29">
        <v>4</v>
      </c>
      <c r="C9" s="30" t="s">
        <v>68</v>
      </c>
      <c r="D9" s="31">
        <v>4757</v>
      </c>
      <c r="E9" s="6">
        <v>7500</v>
      </c>
      <c r="F9" s="32" t="s">
        <v>69</v>
      </c>
      <c r="G9" s="6">
        <v>2000</v>
      </c>
      <c r="H9" s="6">
        <v>2000</v>
      </c>
      <c r="I9" s="32" t="s">
        <v>56</v>
      </c>
      <c r="J9" s="6" t="s">
        <v>67</v>
      </c>
      <c r="K9" s="6">
        <v>6</v>
      </c>
    </row>
    <row r="10" spans="2:11" ht="114.75">
      <c r="B10" s="29">
        <v>5</v>
      </c>
      <c r="C10" s="30" t="s">
        <v>70</v>
      </c>
      <c r="D10" s="31">
        <v>12139</v>
      </c>
      <c r="E10" s="6">
        <v>6655</v>
      </c>
      <c r="F10" s="32" t="s">
        <v>71</v>
      </c>
      <c r="G10" s="6">
        <v>1900</v>
      </c>
      <c r="H10" s="6">
        <v>1995</v>
      </c>
      <c r="I10" s="32" t="s">
        <v>66</v>
      </c>
      <c r="J10" s="6" t="s">
        <v>67</v>
      </c>
      <c r="K10" s="32" t="s">
        <v>67</v>
      </c>
    </row>
    <row r="11" spans="2:11" ht="114.75">
      <c r="B11" s="29">
        <v>6</v>
      </c>
      <c r="C11" s="30" t="s">
        <v>72</v>
      </c>
      <c r="D11" s="31">
        <v>15605</v>
      </c>
      <c r="E11" s="6">
        <v>16223</v>
      </c>
      <c r="F11" s="32" t="s">
        <v>73</v>
      </c>
      <c r="G11" s="6">
        <v>1616</v>
      </c>
      <c r="H11" s="6">
        <v>2000</v>
      </c>
      <c r="I11" s="32" t="s">
        <v>56</v>
      </c>
      <c r="J11" s="6" t="s">
        <v>74</v>
      </c>
      <c r="K11" s="32" t="s">
        <v>67</v>
      </c>
    </row>
    <row r="12" spans="2:11" ht="114.75">
      <c r="B12" s="29">
        <v>7</v>
      </c>
      <c r="C12" s="30" t="s">
        <v>75</v>
      </c>
      <c r="D12" s="31">
        <v>15145</v>
      </c>
      <c r="E12" s="6">
        <v>18658</v>
      </c>
      <c r="F12" s="32" t="s">
        <v>76</v>
      </c>
      <c r="G12" s="6">
        <v>4500</v>
      </c>
      <c r="H12" s="6">
        <v>1996</v>
      </c>
      <c r="I12" s="32" t="s">
        <v>56</v>
      </c>
      <c r="J12" s="6" t="s">
        <v>67</v>
      </c>
      <c r="K12" s="32" t="s">
        <v>67</v>
      </c>
    </row>
    <row r="13" spans="2:11" ht="89.25">
      <c r="B13" s="29">
        <v>8</v>
      </c>
      <c r="C13" s="30" t="s">
        <v>77</v>
      </c>
      <c r="D13" s="31">
        <v>25000</v>
      </c>
      <c r="E13" s="6">
        <v>1352</v>
      </c>
      <c r="F13" s="32" t="s">
        <v>78</v>
      </c>
      <c r="G13" s="6">
        <v>7500</v>
      </c>
      <c r="H13" s="6">
        <v>1992</v>
      </c>
      <c r="I13" s="32" t="s">
        <v>79</v>
      </c>
      <c r="J13" s="6" t="s">
        <v>80</v>
      </c>
      <c r="K13" s="32" t="s">
        <v>67</v>
      </c>
    </row>
    <row r="14" spans="2:11" ht="38.25">
      <c r="B14" s="165">
        <v>9</v>
      </c>
      <c r="C14" s="165" t="s">
        <v>81</v>
      </c>
      <c r="D14" s="167">
        <v>24179</v>
      </c>
      <c r="E14" s="169">
        <v>17090</v>
      </c>
      <c r="F14" s="114" t="s">
        <v>82</v>
      </c>
      <c r="G14" s="169">
        <v>3784.5</v>
      </c>
      <c r="H14" s="169">
        <v>2000</v>
      </c>
      <c r="I14" s="33" t="s">
        <v>83</v>
      </c>
      <c r="J14" s="169" t="s">
        <v>84</v>
      </c>
      <c r="K14" s="114" t="s">
        <v>67</v>
      </c>
    </row>
    <row r="15" spans="2:11" ht="38.25">
      <c r="B15" s="166"/>
      <c r="C15" s="166"/>
      <c r="D15" s="168"/>
      <c r="E15" s="170"/>
      <c r="F15" s="115"/>
      <c r="G15" s="170"/>
      <c r="H15" s="170"/>
      <c r="I15" s="32" t="s">
        <v>85</v>
      </c>
      <c r="J15" s="170"/>
      <c r="K15" s="115"/>
    </row>
    <row r="16" spans="2:11" ht="76.5">
      <c r="B16" s="165">
        <v>10</v>
      </c>
      <c r="C16" s="165" t="s">
        <v>86</v>
      </c>
      <c r="D16" s="167">
        <v>15146</v>
      </c>
      <c r="E16" s="169">
        <v>17208</v>
      </c>
      <c r="F16" s="114" t="s">
        <v>87</v>
      </c>
      <c r="G16" s="169">
        <v>3800</v>
      </c>
      <c r="H16" s="169">
        <v>2000</v>
      </c>
      <c r="I16" s="33" t="s">
        <v>88</v>
      </c>
      <c r="J16" s="169" t="s">
        <v>89</v>
      </c>
      <c r="K16" s="169" t="s">
        <v>90</v>
      </c>
    </row>
    <row r="17" spans="2:11" ht="76.5">
      <c r="B17" s="166"/>
      <c r="C17" s="166"/>
      <c r="D17" s="168"/>
      <c r="E17" s="170"/>
      <c r="F17" s="115"/>
      <c r="G17" s="170"/>
      <c r="H17" s="170"/>
      <c r="I17" s="32" t="s">
        <v>91</v>
      </c>
      <c r="J17" s="170"/>
      <c r="K17" s="170"/>
    </row>
    <row r="18" spans="2:11" ht="38.25">
      <c r="B18" s="165">
        <v>11</v>
      </c>
      <c r="C18" s="165" t="s">
        <v>92</v>
      </c>
      <c r="D18" s="167">
        <v>15372</v>
      </c>
      <c r="E18" s="169">
        <v>18927</v>
      </c>
      <c r="F18" s="114" t="s">
        <v>93</v>
      </c>
      <c r="G18" s="169">
        <v>7820</v>
      </c>
      <c r="H18" s="169">
        <v>2003</v>
      </c>
      <c r="I18" s="33" t="s">
        <v>83</v>
      </c>
      <c r="J18" s="169" t="s">
        <v>94</v>
      </c>
      <c r="K18" s="114" t="s">
        <v>67</v>
      </c>
    </row>
    <row r="19" spans="2:11" ht="38.25">
      <c r="B19" s="166"/>
      <c r="C19" s="166"/>
      <c r="D19" s="168"/>
      <c r="E19" s="170"/>
      <c r="F19" s="115"/>
      <c r="G19" s="170"/>
      <c r="H19" s="170"/>
      <c r="I19" s="32" t="s">
        <v>95</v>
      </c>
      <c r="J19" s="170"/>
      <c r="K19" s="115"/>
    </row>
    <row r="20" spans="2:11" ht="114.75">
      <c r="B20" s="29">
        <v>12</v>
      </c>
      <c r="C20" s="30" t="s">
        <v>96</v>
      </c>
      <c r="D20" s="31">
        <v>8600</v>
      </c>
      <c r="E20" s="6">
        <v>1665</v>
      </c>
      <c r="F20" s="32" t="s">
        <v>97</v>
      </c>
      <c r="G20" s="6">
        <v>2320</v>
      </c>
      <c r="H20" s="6">
        <v>2000</v>
      </c>
      <c r="I20" s="32" t="s">
        <v>56</v>
      </c>
      <c r="J20" s="6" t="s">
        <v>98</v>
      </c>
      <c r="K20" s="32" t="s">
        <v>67</v>
      </c>
    </row>
    <row r="21" spans="2:11" ht="114.75">
      <c r="B21" s="29">
        <v>13</v>
      </c>
      <c r="C21" s="30" t="s">
        <v>99</v>
      </c>
      <c r="D21" s="31">
        <v>7635</v>
      </c>
      <c r="E21" s="6">
        <v>7931</v>
      </c>
      <c r="F21" s="32" t="s">
        <v>100</v>
      </c>
      <c r="G21" s="6">
        <v>1225</v>
      </c>
      <c r="H21" s="6">
        <v>2001</v>
      </c>
      <c r="I21" s="32" t="s">
        <v>56</v>
      </c>
      <c r="J21" s="6" t="s">
        <v>94</v>
      </c>
      <c r="K21" s="32" t="s">
        <v>67</v>
      </c>
    </row>
    <row r="22" spans="2:11" ht="114.75">
      <c r="B22" s="29">
        <v>14</v>
      </c>
      <c r="C22" s="30" t="s">
        <v>101</v>
      </c>
      <c r="D22" s="31">
        <v>14257</v>
      </c>
      <c r="E22" s="6">
        <v>17576</v>
      </c>
      <c r="F22" s="32" t="s">
        <v>102</v>
      </c>
      <c r="G22" s="6">
        <v>2336</v>
      </c>
      <c r="H22" s="6">
        <v>1998</v>
      </c>
      <c r="I22" s="32" t="s">
        <v>103</v>
      </c>
      <c r="J22" s="6" t="s">
        <v>104</v>
      </c>
      <c r="K22" s="32" t="s">
        <v>67</v>
      </c>
    </row>
    <row r="23" spans="2:11" ht="127.5">
      <c r="B23" s="29">
        <v>15</v>
      </c>
      <c r="C23" s="30" t="s">
        <v>105</v>
      </c>
      <c r="D23" s="6">
        <v>9464</v>
      </c>
      <c r="E23" s="35"/>
      <c r="F23" s="32" t="s">
        <v>106</v>
      </c>
      <c r="G23" s="6">
        <v>3000</v>
      </c>
      <c r="H23" s="6">
        <v>2002</v>
      </c>
      <c r="I23" s="32" t="s">
        <v>107</v>
      </c>
      <c r="J23" s="6" t="s">
        <v>67</v>
      </c>
      <c r="K23" s="32" t="s">
        <v>67</v>
      </c>
    </row>
    <row r="24" spans="2:11" ht="12.75">
      <c r="B24" s="165">
        <v>16</v>
      </c>
      <c r="C24" s="165" t="s">
        <v>108</v>
      </c>
      <c r="D24" s="88">
        <v>35551</v>
      </c>
      <c r="E24" s="169">
        <v>10200</v>
      </c>
      <c r="F24" s="114" t="s">
        <v>109</v>
      </c>
      <c r="G24" s="169">
        <v>16680</v>
      </c>
      <c r="H24" s="169">
        <v>2001</v>
      </c>
      <c r="I24" s="114" t="s">
        <v>110</v>
      </c>
      <c r="J24" s="169" t="s">
        <v>67</v>
      </c>
      <c r="K24" s="114" t="s">
        <v>67</v>
      </c>
    </row>
    <row r="25" spans="2:11" ht="12.75">
      <c r="B25" s="166"/>
      <c r="C25" s="166"/>
      <c r="D25" s="89"/>
      <c r="E25" s="170"/>
      <c r="F25" s="115"/>
      <c r="G25" s="170"/>
      <c r="H25" s="170"/>
      <c r="I25" s="115"/>
      <c r="J25" s="170"/>
      <c r="K25" s="115"/>
    </row>
    <row r="26" spans="2:11" ht="76.5">
      <c r="B26" s="29">
        <v>17</v>
      </c>
      <c r="C26" s="30" t="s">
        <v>111</v>
      </c>
      <c r="D26" s="31">
        <v>17177</v>
      </c>
      <c r="E26" s="6">
        <v>10140</v>
      </c>
      <c r="F26" s="32" t="s">
        <v>112</v>
      </c>
      <c r="G26" s="6">
        <v>15000</v>
      </c>
      <c r="H26" s="6">
        <v>1998</v>
      </c>
      <c r="I26" s="32" t="s">
        <v>113</v>
      </c>
      <c r="J26" s="6" t="s">
        <v>94</v>
      </c>
      <c r="K26" s="32" t="s">
        <v>67</v>
      </c>
    </row>
    <row r="27" spans="2:11" ht="89.25">
      <c r="B27" s="36"/>
      <c r="C27" s="30" t="s">
        <v>114</v>
      </c>
      <c r="D27" s="8">
        <v>263880</v>
      </c>
      <c r="E27" s="35"/>
      <c r="F27" s="30" t="s">
        <v>115</v>
      </c>
      <c r="G27" s="37">
        <f>SUM(G6:G26)</f>
        <v>84026.23999999999</v>
      </c>
      <c r="H27" s="35"/>
      <c r="I27" s="35"/>
      <c r="J27" s="35"/>
      <c r="K27" s="35"/>
    </row>
    <row r="29" spans="3:4" ht="25.5">
      <c r="C29" s="38" t="s">
        <v>116</v>
      </c>
      <c r="D29" t="s">
        <v>117</v>
      </c>
    </row>
    <row r="30" ht="12.75">
      <c r="D30" t="s">
        <v>118</v>
      </c>
    </row>
    <row r="31" ht="12.75">
      <c r="D31" t="s">
        <v>119</v>
      </c>
    </row>
  </sheetData>
  <mergeCells count="48">
    <mergeCell ref="J24:J25"/>
    <mergeCell ref="K24:K25"/>
    <mergeCell ref="F24:F25"/>
    <mergeCell ref="G24:G25"/>
    <mergeCell ref="H24:H25"/>
    <mergeCell ref="I24:I25"/>
    <mergeCell ref="B24:B25"/>
    <mergeCell ref="C24:C25"/>
    <mergeCell ref="D24:D25"/>
    <mergeCell ref="E24:E25"/>
    <mergeCell ref="K16:K17"/>
    <mergeCell ref="B18:B19"/>
    <mergeCell ref="C18:C19"/>
    <mergeCell ref="D18:D19"/>
    <mergeCell ref="E18:E19"/>
    <mergeCell ref="F18:F19"/>
    <mergeCell ref="G18:G19"/>
    <mergeCell ref="H18:H19"/>
    <mergeCell ref="J18:J19"/>
    <mergeCell ref="K18:K19"/>
    <mergeCell ref="F16:F17"/>
    <mergeCell ref="G16:G17"/>
    <mergeCell ref="H16:H17"/>
    <mergeCell ref="J16:J17"/>
    <mergeCell ref="B16:B17"/>
    <mergeCell ref="C16:C17"/>
    <mergeCell ref="D16:D17"/>
    <mergeCell ref="E16:E17"/>
    <mergeCell ref="K4:K5"/>
    <mergeCell ref="B14:B15"/>
    <mergeCell ref="C14:C15"/>
    <mergeCell ref="D14:D15"/>
    <mergeCell ref="E14:E15"/>
    <mergeCell ref="F14:F15"/>
    <mergeCell ref="G14:G15"/>
    <mergeCell ref="H14:H15"/>
    <mergeCell ref="J14:J15"/>
    <mergeCell ref="K14:K15"/>
    <mergeCell ref="B2:M2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9"/>
  <sheetViews>
    <sheetView workbookViewId="0" topLeftCell="A1">
      <selection activeCell="M9" sqref="M9"/>
    </sheetView>
  </sheetViews>
  <sheetFormatPr defaultColWidth="9.00390625" defaultRowHeight="12.75"/>
  <cols>
    <col min="8" max="8" width="16.75390625" style="0" customWidth="1"/>
    <col min="9" max="9" width="19.375" style="0" customWidth="1"/>
    <col min="11" max="11" width="37.875" style="0" customWidth="1"/>
  </cols>
  <sheetData>
    <row r="2" spans="2:3" ht="12.75">
      <c r="B2" s="90" t="s">
        <v>120</v>
      </c>
      <c r="C2" s="90"/>
    </row>
    <row r="3" spans="2:11" ht="12.75">
      <c r="B3" s="83" t="s">
        <v>121</v>
      </c>
      <c r="C3" s="83"/>
      <c r="D3" s="83"/>
      <c r="E3" s="83"/>
      <c r="F3" s="83"/>
      <c r="G3" s="83"/>
      <c r="H3" s="83"/>
      <c r="I3" s="83"/>
      <c r="J3" s="83"/>
      <c r="K3" s="83"/>
    </row>
    <row r="4" ht="12.75">
      <c r="B4" s="1"/>
    </row>
    <row r="5" spans="2:11" ht="12.75">
      <c r="B5" s="84" t="s">
        <v>1</v>
      </c>
      <c r="C5" s="84" t="s">
        <v>2</v>
      </c>
      <c r="D5" s="86" t="s">
        <v>122</v>
      </c>
      <c r="E5" s="87"/>
      <c r="F5" s="87"/>
      <c r="G5" s="171"/>
      <c r="H5" s="86" t="s">
        <v>123</v>
      </c>
      <c r="I5" s="87"/>
      <c r="J5" s="87"/>
      <c r="K5" s="171"/>
    </row>
    <row r="6" spans="2:11" ht="38.25">
      <c r="B6" s="85"/>
      <c r="C6" s="85"/>
      <c r="D6" s="40" t="s">
        <v>124</v>
      </c>
      <c r="E6" s="39" t="s">
        <v>125</v>
      </c>
      <c r="F6" s="39" t="s">
        <v>126</v>
      </c>
      <c r="G6" s="39" t="s">
        <v>127</v>
      </c>
      <c r="H6" s="40" t="s">
        <v>124</v>
      </c>
      <c r="I6" s="40" t="s">
        <v>125</v>
      </c>
      <c r="J6" s="40" t="s">
        <v>126</v>
      </c>
      <c r="K6" s="40" t="s">
        <v>127</v>
      </c>
    </row>
    <row r="7" spans="2:11" ht="12.75">
      <c r="B7" s="172">
        <v>1</v>
      </c>
      <c r="C7" s="114" t="s">
        <v>128</v>
      </c>
      <c r="D7" s="169">
        <v>46.035</v>
      </c>
      <c r="E7" s="169">
        <v>14.805</v>
      </c>
      <c r="F7" s="169">
        <v>16.057</v>
      </c>
      <c r="G7" s="169">
        <v>18.21</v>
      </c>
      <c r="H7" s="41" t="s">
        <v>114</v>
      </c>
      <c r="I7" s="174" t="s">
        <v>129</v>
      </c>
      <c r="J7" s="169">
        <v>23.241</v>
      </c>
      <c r="K7" s="169">
        <v>9.983</v>
      </c>
    </row>
    <row r="8" spans="2:11" ht="12.75">
      <c r="B8" s="173"/>
      <c r="C8" s="115"/>
      <c r="D8" s="170"/>
      <c r="E8" s="170"/>
      <c r="F8" s="170"/>
      <c r="G8" s="170"/>
      <c r="H8" s="43">
        <v>31.538</v>
      </c>
      <c r="I8" s="175"/>
      <c r="J8" s="170"/>
      <c r="K8" s="170"/>
    </row>
    <row r="9" spans="2:11" ht="38.25">
      <c r="B9" s="42">
        <v>2</v>
      </c>
      <c r="C9" s="32" t="s">
        <v>130</v>
      </c>
      <c r="D9" s="6">
        <v>45.685</v>
      </c>
      <c r="E9" s="6">
        <v>41.365</v>
      </c>
      <c r="F9" s="6">
        <v>24.404</v>
      </c>
      <c r="G9" s="6">
        <v>39.75</v>
      </c>
      <c r="H9" s="6">
        <v>15.225</v>
      </c>
      <c r="I9" s="6">
        <v>13.785</v>
      </c>
      <c r="J9" s="6">
        <v>8.428</v>
      </c>
      <c r="K9" s="6">
        <v>13.83</v>
      </c>
    </row>
    <row r="10" spans="2:11" ht="25.5">
      <c r="B10" s="42">
        <v>3</v>
      </c>
      <c r="C10" s="32" t="s">
        <v>131</v>
      </c>
      <c r="D10" s="6">
        <v>50.46</v>
      </c>
      <c r="E10" s="6">
        <v>31.37</v>
      </c>
      <c r="F10" s="6">
        <v>24.5</v>
      </c>
      <c r="G10" s="6">
        <v>19.98</v>
      </c>
      <c r="H10" s="6" t="s">
        <v>132</v>
      </c>
      <c r="I10" s="6" t="s">
        <v>133</v>
      </c>
      <c r="J10" s="6" t="s">
        <v>134</v>
      </c>
      <c r="K10" s="6">
        <v>49.4</v>
      </c>
    </row>
    <row r="11" spans="2:11" ht="38.25">
      <c r="B11" s="42">
        <v>4</v>
      </c>
      <c r="C11" s="32" t="s">
        <v>135</v>
      </c>
      <c r="D11" s="6">
        <v>7.92</v>
      </c>
      <c r="E11" s="6">
        <v>2.7</v>
      </c>
      <c r="F11" s="6">
        <v>3.168</v>
      </c>
      <c r="G11" s="6">
        <v>5.52</v>
      </c>
      <c r="H11" s="6" t="s">
        <v>132</v>
      </c>
      <c r="I11" s="6" t="s">
        <v>132</v>
      </c>
      <c r="J11" s="6" t="s">
        <v>134</v>
      </c>
      <c r="K11" s="6" t="s">
        <v>136</v>
      </c>
    </row>
    <row r="12" spans="2:11" ht="12.75">
      <c r="B12" s="172">
        <v>5</v>
      </c>
      <c r="C12" s="114" t="s">
        <v>137</v>
      </c>
      <c r="D12" s="169">
        <v>17.505</v>
      </c>
      <c r="E12" s="169">
        <v>11.75</v>
      </c>
      <c r="F12" s="169">
        <v>8.334</v>
      </c>
      <c r="G12" s="169">
        <v>9.06</v>
      </c>
      <c r="H12" s="44" t="s">
        <v>138</v>
      </c>
      <c r="I12" s="114" t="s">
        <v>139</v>
      </c>
      <c r="J12" s="45" t="s">
        <v>140</v>
      </c>
      <c r="K12" s="45" t="s">
        <v>140</v>
      </c>
    </row>
    <row r="13" spans="2:11" ht="12.75">
      <c r="B13" s="173"/>
      <c r="C13" s="115"/>
      <c r="D13" s="170"/>
      <c r="E13" s="170"/>
      <c r="F13" s="170"/>
      <c r="G13" s="170"/>
      <c r="H13" s="46">
        <v>80.745</v>
      </c>
      <c r="I13" s="115"/>
      <c r="J13" s="6">
        <v>33.78</v>
      </c>
      <c r="K13" s="6">
        <v>7.24</v>
      </c>
    </row>
    <row r="14" spans="2:11" ht="12.75">
      <c r="B14" s="172">
        <v>6</v>
      </c>
      <c r="C14" s="114" t="s">
        <v>141</v>
      </c>
      <c r="D14" s="169">
        <v>44.06</v>
      </c>
      <c r="E14" s="169">
        <v>16.065</v>
      </c>
      <c r="F14" s="169">
        <v>12.158</v>
      </c>
      <c r="G14" s="169">
        <v>13.47</v>
      </c>
      <c r="H14" s="47">
        <v>7.9</v>
      </c>
      <c r="I14" s="45"/>
      <c r="J14" s="45"/>
      <c r="K14" s="45"/>
    </row>
    <row r="15" spans="2:11" ht="12.75">
      <c r="B15" s="177"/>
      <c r="C15" s="178"/>
      <c r="D15" s="176"/>
      <c r="E15" s="176"/>
      <c r="F15" s="176"/>
      <c r="G15" s="176"/>
      <c r="H15" s="41"/>
      <c r="I15" s="33"/>
      <c r="J15" s="45" t="s">
        <v>140</v>
      </c>
      <c r="K15" s="45" t="s">
        <v>140</v>
      </c>
    </row>
    <row r="16" spans="2:11" ht="12.75">
      <c r="B16" s="173"/>
      <c r="C16" s="115"/>
      <c r="D16" s="170"/>
      <c r="E16" s="170"/>
      <c r="F16" s="170"/>
      <c r="G16" s="170"/>
      <c r="H16" s="43" t="s">
        <v>142</v>
      </c>
      <c r="I16" s="32" t="s">
        <v>139</v>
      </c>
      <c r="J16" s="6">
        <v>19.866</v>
      </c>
      <c r="K16" s="6">
        <v>6.141</v>
      </c>
    </row>
    <row r="17" spans="2:11" ht="38.25">
      <c r="B17" s="42">
        <v>7</v>
      </c>
      <c r="C17" s="32" t="s">
        <v>143</v>
      </c>
      <c r="D17" s="6">
        <v>54.46</v>
      </c>
      <c r="E17" s="6">
        <v>25.97</v>
      </c>
      <c r="F17" s="6">
        <v>29.113</v>
      </c>
      <c r="G17" s="6">
        <v>32.46</v>
      </c>
      <c r="H17" s="6" t="s">
        <v>132</v>
      </c>
      <c r="I17" s="6">
        <v>45.9</v>
      </c>
      <c r="J17" s="6" t="s">
        <v>144</v>
      </c>
      <c r="K17" s="6" t="s">
        <v>134</v>
      </c>
    </row>
    <row r="18" spans="2:11" ht="25.5">
      <c r="B18" s="42">
        <v>8</v>
      </c>
      <c r="C18" s="32" t="s">
        <v>145</v>
      </c>
      <c r="D18" s="6">
        <v>0</v>
      </c>
      <c r="E18" s="6">
        <v>4.91</v>
      </c>
      <c r="F18" s="6">
        <v>4.187</v>
      </c>
      <c r="G18" s="6">
        <v>5.58</v>
      </c>
      <c r="H18" s="6" t="s">
        <v>132</v>
      </c>
      <c r="I18" s="6">
        <v>155.5</v>
      </c>
      <c r="J18" s="6">
        <v>74.6</v>
      </c>
      <c r="K18" s="6">
        <v>49.6</v>
      </c>
    </row>
    <row r="19" spans="2:11" ht="38.25">
      <c r="B19" s="42">
        <v>9</v>
      </c>
      <c r="C19" s="32" t="s">
        <v>146</v>
      </c>
      <c r="D19" s="6">
        <v>90.1</v>
      </c>
      <c r="E19" s="6">
        <v>41.365</v>
      </c>
      <c r="F19" s="6">
        <v>24.978</v>
      </c>
      <c r="G19" s="6">
        <v>30.15</v>
      </c>
      <c r="H19" s="6" t="s">
        <v>132</v>
      </c>
      <c r="I19" s="6">
        <v>45.9</v>
      </c>
      <c r="J19" s="6" t="s">
        <v>144</v>
      </c>
      <c r="K19" s="6" t="s">
        <v>136</v>
      </c>
    </row>
    <row r="20" spans="2:11" ht="12.75">
      <c r="B20" s="172">
        <v>10</v>
      </c>
      <c r="C20" s="114" t="s">
        <v>147</v>
      </c>
      <c r="D20" s="169">
        <v>30.36</v>
      </c>
      <c r="E20" s="169">
        <v>10.395</v>
      </c>
      <c r="F20" s="169">
        <v>11.158</v>
      </c>
      <c r="G20" s="169">
        <v>19.62</v>
      </c>
      <c r="H20" s="41" t="s">
        <v>114</v>
      </c>
      <c r="I20" s="174" t="s">
        <v>129</v>
      </c>
      <c r="J20" s="169">
        <v>33.84</v>
      </c>
      <c r="K20" s="169">
        <v>32.41</v>
      </c>
    </row>
    <row r="21" spans="2:11" ht="12.75">
      <c r="B21" s="173"/>
      <c r="C21" s="115"/>
      <c r="D21" s="170"/>
      <c r="E21" s="170"/>
      <c r="F21" s="170"/>
      <c r="G21" s="170"/>
      <c r="H21" s="43">
        <v>96.975</v>
      </c>
      <c r="I21" s="175"/>
      <c r="J21" s="170"/>
      <c r="K21" s="170"/>
    </row>
    <row r="22" spans="2:11" ht="12.75">
      <c r="B22" s="172">
        <v>11</v>
      </c>
      <c r="C22" s="114" t="s">
        <v>148</v>
      </c>
      <c r="D22" s="169">
        <v>31.32</v>
      </c>
      <c r="E22" s="169">
        <v>14.76</v>
      </c>
      <c r="F22" s="169">
        <v>13.271</v>
      </c>
      <c r="G22" s="169">
        <v>17.53</v>
      </c>
      <c r="H22" s="44" t="s">
        <v>114</v>
      </c>
      <c r="I22" s="114" t="s">
        <v>129</v>
      </c>
      <c r="J22" s="169">
        <v>4.5</v>
      </c>
      <c r="K22" s="169">
        <v>1.5</v>
      </c>
    </row>
    <row r="23" spans="2:11" ht="12.75">
      <c r="B23" s="173"/>
      <c r="C23" s="115"/>
      <c r="D23" s="170"/>
      <c r="E23" s="170"/>
      <c r="F23" s="170"/>
      <c r="G23" s="170"/>
      <c r="H23" s="46">
        <v>3.5</v>
      </c>
      <c r="I23" s="115"/>
      <c r="J23" s="170"/>
      <c r="K23" s="170"/>
    </row>
    <row r="24" spans="2:11" ht="12.75">
      <c r="B24" s="172">
        <v>12</v>
      </c>
      <c r="C24" s="114" t="s">
        <v>149</v>
      </c>
      <c r="D24" s="169">
        <v>24.885</v>
      </c>
      <c r="E24" s="169">
        <v>19.31</v>
      </c>
      <c r="F24" s="169">
        <v>25.818</v>
      </c>
      <c r="G24" s="169">
        <v>31.92</v>
      </c>
      <c r="H24" s="41" t="s">
        <v>114</v>
      </c>
      <c r="I24" s="33" t="s">
        <v>129</v>
      </c>
      <c r="J24" s="169">
        <v>48.5</v>
      </c>
      <c r="K24" s="169">
        <v>38</v>
      </c>
    </row>
    <row r="25" spans="2:11" ht="12.75">
      <c r="B25" s="177"/>
      <c r="C25" s="178"/>
      <c r="D25" s="176"/>
      <c r="E25" s="176"/>
      <c r="F25" s="176"/>
      <c r="G25" s="176"/>
      <c r="H25" s="41">
        <v>89.9</v>
      </c>
      <c r="I25" s="33"/>
      <c r="J25" s="176"/>
      <c r="K25" s="176"/>
    </row>
    <row r="26" spans="2:11" ht="12.75">
      <c r="B26" s="177"/>
      <c r="C26" s="178"/>
      <c r="D26" s="176"/>
      <c r="E26" s="176"/>
      <c r="F26" s="176"/>
      <c r="G26" s="176"/>
      <c r="H26" s="41"/>
      <c r="I26" s="33"/>
      <c r="J26" s="176"/>
      <c r="K26" s="176"/>
    </row>
    <row r="27" spans="2:11" ht="12.75">
      <c r="B27" s="177"/>
      <c r="C27" s="178"/>
      <c r="D27" s="176"/>
      <c r="E27" s="176"/>
      <c r="F27" s="176"/>
      <c r="G27" s="176"/>
      <c r="H27" s="41" t="s">
        <v>114</v>
      </c>
      <c r="I27" s="33" t="s">
        <v>139</v>
      </c>
      <c r="J27" s="176"/>
      <c r="K27" s="176"/>
    </row>
    <row r="28" spans="2:11" ht="15">
      <c r="B28" s="173"/>
      <c r="C28" s="115"/>
      <c r="D28" s="170"/>
      <c r="E28" s="170"/>
      <c r="F28" s="170"/>
      <c r="G28" s="170"/>
      <c r="H28" s="43">
        <v>61.3</v>
      </c>
      <c r="I28" s="48"/>
      <c r="J28" s="170"/>
      <c r="K28" s="170"/>
    </row>
    <row r="29" spans="2:11" ht="12.75">
      <c r="B29" s="172">
        <v>13</v>
      </c>
      <c r="C29" s="114" t="s">
        <v>150</v>
      </c>
      <c r="D29" s="169">
        <v>28.985</v>
      </c>
      <c r="E29" s="169">
        <v>13.815</v>
      </c>
      <c r="F29" s="169">
        <v>8.761</v>
      </c>
      <c r="G29" s="169">
        <v>12.12</v>
      </c>
      <c r="H29" s="169" t="s">
        <v>132</v>
      </c>
      <c r="I29" s="169" t="s">
        <v>132</v>
      </c>
      <c r="J29" s="45" t="s">
        <v>140</v>
      </c>
      <c r="K29" s="45" t="s">
        <v>140</v>
      </c>
    </row>
    <row r="30" spans="2:11" ht="12.75">
      <c r="B30" s="173"/>
      <c r="C30" s="115"/>
      <c r="D30" s="170"/>
      <c r="E30" s="170"/>
      <c r="F30" s="170"/>
      <c r="G30" s="170"/>
      <c r="H30" s="170"/>
      <c r="I30" s="170"/>
      <c r="J30" s="6">
        <v>18</v>
      </c>
      <c r="K30" s="6">
        <v>6</v>
      </c>
    </row>
    <row r="31" spans="2:11" ht="12.75">
      <c r="B31" s="172">
        <v>14</v>
      </c>
      <c r="C31" s="114" t="s">
        <v>151</v>
      </c>
      <c r="D31" s="169">
        <v>16.255</v>
      </c>
      <c r="E31" s="169">
        <v>6.345</v>
      </c>
      <c r="F31" s="169">
        <v>4.099</v>
      </c>
      <c r="G31" s="169">
        <v>7.74</v>
      </c>
      <c r="H31" s="41" t="s">
        <v>114</v>
      </c>
      <c r="I31" s="174" t="s">
        <v>129</v>
      </c>
      <c r="J31" s="169">
        <v>13.708</v>
      </c>
      <c r="K31" s="169">
        <v>19.943</v>
      </c>
    </row>
    <row r="32" spans="2:11" ht="12.75">
      <c r="B32" s="173"/>
      <c r="C32" s="115"/>
      <c r="D32" s="170"/>
      <c r="E32" s="170"/>
      <c r="F32" s="170"/>
      <c r="G32" s="170"/>
      <c r="H32" s="43">
        <v>129.767</v>
      </c>
      <c r="I32" s="175"/>
      <c r="J32" s="170"/>
      <c r="K32" s="170"/>
    </row>
    <row r="33" spans="2:11" ht="38.25">
      <c r="B33" s="42">
        <v>15</v>
      </c>
      <c r="C33" s="32" t="s">
        <v>152</v>
      </c>
      <c r="D33" s="6">
        <v>39.185</v>
      </c>
      <c r="E33" s="6">
        <v>22.865</v>
      </c>
      <c r="F33" s="6">
        <v>23.397</v>
      </c>
      <c r="G33" s="6">
        <v>24.21</v>
      </c>
      <c r="H33" s="6" t="s">
        <v>132</v>
      </c>
      <c r="I33" s="49" t="s">
        <v>153</v>
      </c>
      <c r="J33" s="6" t="s">
        <v>154</v>
      </c>
      <c r="K33" s="6" t="s">
        <v>154</v>
      </c>
    </row>
    <row r="34" spans="2:11" ht="38.25">
      <c r="B34" s="42">
        <v>16</v>
      </c>
      <c r="C34" s="32" t="s">
        <v>155</v>
      </c>
      <c r="D34" s="6">
        <v>97.865</v>
      </c>
      <c r="E34" s="6">
        <v>70.735</v>
      </c>
      <c r="F34" s="6">
        <v>54.071</v>
      </c>
      <c r="G34" s="6">
        <v>65.83</v>
      </c>
      <c r="H34" s="6" t="s">
        <v>144</v>
      </c>
      <c r="I34" s="6">
        <v>38.63</v>
      </c>
      <c r="J34" s="6" t="s">
        <v>144</v>
      </c>
      <c r="K34" s="6" t="s">
        <v>136</v>
      </c>
    </row>
    <row r="35" spans="2:11" ht="12.75">
      <c r="B35" s="172">
        <v>17</v>
      </c>
      <c r="C35" s="114" t="s">
        <v>156</v>
      </c>
      <c r="D35" s="169">
        <v>0</v>
      </c>
      <c r="E35" s="169">
        <v>0</v>
      </c>
      <c r="F35" s="169">
        <v>0</v>
      </c>
      <c r="G35" s="169">
        <v>0</v>
      </c>
      <c r="H35" s="41" t="s">
        <v>114</v>
      </c>
      <c r="I35" s="174" t="s">
        <v>129</v>
      </c>
      <c r="J35" s="169">
        <v>36.9</v>
      </c>
      <c r="K35" s="169">
        <v>137.98</v>
      </c>
    </row>
    <row r="36" spans="2:11" ht="12.75">
      <c r="B36" s="173"/>
      <c r="C36" s="115"/>
      <c r="D36" s="170"/>
      <c r="E36" s="170"/>
      <c r="F36" s="170"/>
      <c r="G36" s="170"/>
      <c r="H36" s="43">
        <v>152.46</v>
      </c>
      <c r="I36" s="175"/>
      <c r="J36" s="170"/>
      <c r="K36" s="170"/>
    </row>
    <row r="37" spans="2:11" ht="15">
      <c r="B37" s="27"/>
      <c r="C37" s="8" t="s">
        <v>41</v>
      </c>
      <c r="D37" s="8">
        <v>622.09</v>
      </c>
      <c r="E37" s="8">
        <v>348.795</v>
      </c>
      <c r="F37" s="8">
        <v>287.463</v>
      </c>
      <c r="G37" s="8">
        <v>353.15</v>
      </c>
      <c r="H37" s="8">
        <v>23.125</v>
      </c>
      <c r="I37" s="8">
        <v>299.715</v>
      </c>
      <c r="J37" s="8">
        <f>J7+J9+J13+J16+J18+J20+J22+J24+J30+J31+J35</f>
        <v>315.363</v>
      </c>
      <c r="K37" s="8">
        <f>K7+K9+K13+K16+K18+K20+K22+K24+K30+K31+K35</f>
        <v>322.627</v>
      </c>
    </row>
    <row r="38" spans="2:11" ht="12.75">
      <c r="B38" s="179"/>
      <c r="C38" s="179"/>
      <c r="D38" s="179"/>
      <c r="E38" s="179"/>
      <c r="F38" s="179"/>
      <c r="G38" s="179"/>
      <c r="H38" s="50" t="s">
        <v>114</v>
      </c>
      <c r="I38" s="181" t="s">
        <v>129</v>
      </c>
      <c r="J38" s="179"/>
      <c r="K38" s="179"/>
    </row>
    <row r="39" spans="2:11" ht="12.75">
      <c r="B39" s="180"/>
      <c r="C39" s="180"/>
      <c r="D39" s="180"/>
      <c r="E39" s="180"/>
      <c r="F39" s="180"/>
      <c r="G39" s="180"/>
      <c r="H39" s="51">
        <v>677.341</v>
      </c>
      <c r="I39" s="182"/>
      <c r="J39" s="180"/>
      <c r="K39" s="180"/>
    </row>
  </sheetData>
  <mergeCells count="89">
    <mergeCell ref="K38:K39"/>
    <mergeCell ref="F38:F39"/>
    <mergeCell ref="G38:G39"/>
    <mergeCell ref="I38:I39"/>
    <mergeCell ref="J38:J39"/>
    <mergeCell ref="B38:B39"/>
    <mergeCell ref="C38:C39"/>
    <mergeCell ref="D38:D39"/>
    <mergeCell ref="E38:E39"/>
    <mergeCell ref="K31:K32"/>
    <mergeCell ref="B35:B36"/>
    <mergeCell ref="C35:C36"/>
    <mergeCell ref="D35:D36"/>
    <mergeCell ref="E35:E36"/>
    <mergeCell ref="F35:F36"/>
    <mergeCell ref="G35:G36"/>
    <mergeCell ref="I35:I36"/>
    <mergeCell ref="J35:J36"/>
    <mergeCell ref="K35:K36"/>
    <mergeCell ref="F31:F32"/>
    <mergeCell ref="G31:G32"/>
    <mergeCell ref="I31:I32"/>
    <mergeCell ref="J31:J32"/>
    <mergeCell ref="B31:B32"/>
    <mergeCell ref="C31:C32"/>
    <mergeCell ref="D31:D32"/>
    <mergeCell ref="E31:E32"/>
    <mergeCell ref="F29:F30"/>
    <mergeCell ref="G29:G30"/>
    <mergeCell ref="H29:H30"/>
    <mergeCell ref="I29:I30"/>
    <mergeCell ref="B29:B30"/>
    <mergeCell ref="C29:C30"/>
    <mergeCell ref="D29:D30"/>
    <mergeCell ref="E29:E30"/>
    <mergeCell ref="J22:J23"/>
    <mergeCell ref="K22:K23"/>
    <mergeCell ref="B24:B28"/>
    <mergeCell ref="C24:C28"/>
    <mergeCell ref="D24:D28"/>
    <mergeCell ref="E24:E28"/>
    <mergeCell ref="F24:F28"/>
    <mergeCell ref="G24:G28"/>
    <mergeCell ref="J24:J28"/>
    <mergeCell ref="K24:K28"/>
    <mergeCell ref="I20:I21"/>
    <mergeCell ref="J20:J21"/>
    <mergeCell ref="K20:K21"/>
    <mergeCell ref="B22:B23"/>
    <mergeCell ref="C22:C23"/>
    <mergeCell ref="D22:D23"/>
    <mergeCell ref="E22:E23"/>
    <mergeCell ref="F22:F23"/>
    <mergeCell ref="G22:G23"/>
    <mergeCell ref="I22:I23"/>
    <mergeCell ref="F14:F16"/>
    <mergeCell ref="G14:G16"/>
    <mergeCell ref="B20:B21"/>
    <mergeCell ref="C20:C21"/>
    <mergeCell ref="D20:D21"/>
    <mergeCell ref="E20:E21"/>
    <mergeCell ref="F20:F21"/>
    <mergeCell ref="G20:G21"/>
    <mergeCell ref="B14:B16"/>
    <mergeCell ref="C14:C16"/>
    <mergeCell ref="D14:D16"/>
    <mergeCell ref="E14:E16"/>
    <mergeCell ref="K7:K8"/>
    <mergeCell ref="B12:B13"/>
    <mergeCell ref="C12:C13"/>
    <mergeCell ref="D12:D13"/>
    <mergeCell ref="E12:E13"/>
    <mergeCell ref="F12:F13"/>
    <mergeCell ref="G12:G13"/>
    <mergeCell ref="I12:I13"/>
    <mergeCell ref="F7:F8"/>
    <mergeCell ref="G7:G8"/>
    <mergeCell ref="I7:I8"/>
    <mergeCell ref="J7:J8"/>
    <mergeCell ref="B7:B8"/>
    <mergeCell ref="C7:C8"/>
    <mergeCell ref="D7:D8"/>
    <mergeCell ref="E7:E8"/>
    <mergeCell ref="B2:C2"/>
    <mergeCell ref="B3:K3"/>
    <mergeCell ref="B5:B6"/>
    <mergeCell ref="C5:C6"/>
    <mergeCell ref="D5:G5"/>
    <mergeCell ref="H5:K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36"/>
  <sheetViews>
    <sheetView workbookViewId="0" topLeftCell="A1">
      <selection activeCell="A1" sqref="A1"/>
    </sheetView>
  </sheetViews>
  <sheetFormatPr defaultColWidth="9.00390625" defaultRowHeight="12.75"/>
  <cols>
    <col min="12" max="12" width="22.875" style="0" customWidth="1"/>
  </cols>
  <sheetData>
    <row r="2" spans="2:12" ht="18.75">
      <c r="B2" s="183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ht="13.5" thickBot="1">
      <c r="B3" s="1"/>
    </row>
    <row r="4" spans="2:12" ht="12.75">
      <c r="B4" s="184" t="s">
        <v>1</v>
      </c>
      <c r="C4" s="186" t="s">
        <v>2</v>
      </c>
      <c r="D4" s="186" t="s">
        <v>3</v>
      </c>
      <c r="E4" s="186"/>
      <c r="F4" s="186"/>
      <c r="G4" s="186" t="s">
        <v>4</v>
      </c>
      <c r="H4" s="186"/>
      <c r="I4" s="186"/>
      <c r="J4" s="188" t="s">
        <v>5</v>
      </c>
      <c r="K4" s="188"/>
      <c r="L4" s="189"/>
    </row>
    <row r="5" spans="2:12" ht="140.25">
      <c r="B5" s="185"/>
      <c r="C5" s="187"/>
      <c r="D5" s="2" t="s">
        <v>6</v>
      </c>
      <c r="E5" s="2" t="s">
        <v>7</v>
      </c>
      <c r="F5" s="2" t="s">
        <v>8</v>
      </c>
      <c r="G5" s="2" t="s">
        <v>6</v>
      </c>
      <c r="H5" s="2" t="s">
        <v>9</v>
      </c>
      <c r="I5" s="2" t="s">
        <v>8</v>
      </c>
      <c r="J5" s="2" t="s">
        <v>10</v>
      </c>
      <c r="K5" s="2" t="s">
        <v>11</v>
      </c>
      <c r="L5" s="3" t="s">
        <v>12</v>
      </c>
    </row>
    <row r="6" spans="2:12" ht="15">
      <c r="B6" s="4"/>
      <c r="C6" s="190" t="s">
        <v>13</v>
      </c>
      <c r="D6" s="191"/>
      <c r="E6" s="5"/>
      <c r="F6" s="5"/>
      <c r="G6" s="6"/>
      <c r="H6" s="7"/>
      <c r="I6" s="8"/>
      <c r="J6" s="8"/>
      <c r="K6" s="8"/>
      <c r="L6" s="9"/>
    </row>
    <row r="7" spans="2:12" ht="12.75">
      <c r="B7" s="4">
        <v>1</v>
      </c>
      <c r="C7" s="10" t="s">
        <v>14</v>
      </c>
      <c r="D7" s="11">
        <v>160.41</v>
      </c>
      <c r="E7" s="11">
        <v>78.78699999999999</v>
      </c>
      <c r="F7" s="11">
        <v>55.18</v>
      </c>
      <c r="G7" s="11">
        <v>646.43388</v>
      </c>
      <c r="H7" s="11">
        <v>856.7196</v>
      </c>
      <c r="I7" s="11">
        <v>357.2910150000001</v>
      </c>
      <c r="J7" s="11">
        <f aca="true" t="shared" si="0" ref="J7:L8">D7/G7*100</f>
        <v>24.814602848476937</v>
      </c>
      <c r="K7" s="11">
        <f t="shared" si="0"/>
        <v>9.196357828162212</v>
      </c>
      <c r="L7" s="12">
        <f t="shared" si="0"/>
        <v>15.443993182979984</v>
      </c>
    </row>
    <row r="8" spans="2:12" ht="25.5">
      <c r="B8" s="4">
        <v>2</v>
      </c>
      <c r="C8" s="10" t="s">
        <v>15</v>
      </c>
      <c r="D8" s="11">
        <v>195.395</v>
      </c>
      <c r="E8" s="11">
        <v>74.318</v>
      </c>
      <c r="F8" s="11">
        <v>69.92</v>
      </c>
      <c r="G8" s="11">
        <v>244.15114</v>
      </c>
      <c r="H8" s="11">
        <v>323.57379999999995</v>
      </c>
      <c r="I8" s="11">
        <v>134.9449825</v>
      </c>
      <c r="J8" s="13">
        <f t="shared" si="0"/>
        <v>80.03034513785191</v>
      </c>
      <c r="K8" s="13">
        <f t="shared" si="0"/>
        <v>22.967866990467094</v>
      </c>
      <c r="L8" s="12">
        <f t="shared" si="0"/>
        <v>51.81370859787246</v>
      </c>
    </row>
    <row r="9" spans="2:12" ht="15">
      <c r="B9" s="4"/>
      <c r="C9" s="190" t="s">
        <v>16</v>
      </c>
      <c r="D9" s="192"/>
      <c r="E9" s="191"/>
      <c r="F9" s="11"/>
      <c r="G9" s="11"/>
      <c r="H9" s="11"/>
      <c r="I9" s="11"/>
      <c r="J9" s="11"/>
      <c r="K9" s="11"/>
      <c r="L9" s="12"/>
    </row>
    <row r="10" spans="2:12" ht="12.75">
      <c r="B10" s="4">
        <v>3</v>
      </c>
      <c r="C10" s="14" t="s">
        <v>17</v>
      </c>
      <c r="D10" s="193">
        <v>87.43299999999999</v>
      </c>
      <c r="E10" s="193">
        <v>18.287</v>
      </c>
      <c r="F10" s="193">
        <v>28.193</v>
      </c>
      <c r="G10" s="193">
        <v>275.8292496</v>
      </c>
      <c r="H10" s="193">
        <v>309.382344</v>
      </c>
      <c r="I10" s="193">
        <v>131.09943780000003</v>
      </c>
      <c r="J10" s="193">
        <f>D10/G10*100</f>
        <v>31.69823364519641</v>
      </c>
      <c r="K10" s="193">
        <f>E10/H10*100</f>
        <v>5.910809183086414</v>
      </c>
      <c r="L10" s="195">
        <f>F10/I10*100</f>
        <v>21.50505026803402</v>
      </c>
    </row>
    <row r="11" spans="2:12" ht="12.75">
      <c r="B11" s="4"/>
      <c r="C11" s="14" t="s">
        <v>18</v>
      </c>
      <c r="D11" s="194"/>
      <c r="E11" s="194"/>
      <c r="F11" s="194"/>
      <c r="G11" s="194"/>
      <c r="H11" s="194"/>
      <c r="I11" s="194"/>
      <c r="J11" s="194"/>
      <c r="K11" s="194"/>
      <c r="L11" s="196"/>
    </row>
    <row r="12" spans="2:12" ht="25.5">
      <c r="B12" s="4">
        <v>4</v>
      </c>
      <c r="C12" s="14" t="s">
        <v>19</v>
      </c>
      <c r="D12" s="193">
        <v>104.135</v>
      </c>
      <c r="E12" s="193">
        <v>32.024</v>
      </c>
      <c r="F12" s="193">
        <v>19.611</v>
      </c>
      <c r="G12" s="193">
        <v>349.91342000000003</v>
      </c>
      <c r="H12" s="193">
        <v>390.623216</v>
      </c>
      <c r="I12" s="193">
        <v>165.60579950000002</v>
      </c>
      <c r="J12" s="193">
        <f>D12/G12*100</f>
        <v>29.760218970738535</v>
      </c>
      <c r="K12" s="193">
        <f>E12/H12*100</f>
        <v>8.19818144142257</v>
      </c>
      <c r="L12" s="195">
        <f>F12/I12*100</f>
        <v>11.841976584884033</v>
      </c>
    </row>
    <row r="13" spans="2:12" ht="25.5">
      <c r="B13" s="4"/>
      <c r="C13" s="14" t="s">
        <v>20</v>
      </c>
      <c r="D13" s="194"/>
      <c r="E13" s="194"/>
      <c r="F13" s="194"/>
      <c r="G13" s="194"/>
      <c r="H13" s="194"/>
      <c r="I13" s="194"/>
      <c r="J13" s="194"/>
      <c r="K13" s="194"/>
      <c r="L13" s="196"/>
    </row>
    <row r="14" spans="2:12" ht="12.75">
      <c r="B14" s="4">
        <v>5</v>
      </c>
      <c r="C14" s="14" t="s">
        <v>21</v>
      </c>
      <c r="D14" s="193">
        <v>126.33</v>
      </c>
      <c r="E14" s="193">
        <v>29.113</v>
      </c>
      <c r="F14" s="193">
        <v>32.46</v>
      </c>
      <c r="G14" s="193">
        <v>358.70779600000003</v>
      </c>
      <c r="H14" s="193">
        <v>387.47368000000006</v>
      </c>
      <c r="I14" s="193">
        <v>164.83862050000002</v>
      </c>
      <c r="J14" s="193">
        <f>D14/G14*100</f>
        <v>35.2180804010181</v>
      </c>
      <c r="K14" s="193">
        <f>E14/H14*100</f>
        <v>7.5135425972675085</v>
      </c>
      <c r="L14" s="195">
        <f>F14/I14*100</f>
        <v>19.691987169960573</v>
      </c>
    </row>
    <row r="15" spans="2:12" ht="12.75">
      <c r="B15" s="4"/>
      <c r="C15" s="14" t="s">
        <v>22</v>
      </c>
      <c r="D15" s="194"/>
      <c r="E15" s="194"/>
      <c r="F15" s="194"/>
      <c r="G15" s="194"/>
      <c r="H15" s="194"/>
      <c r="I15" s="194"/>
      <c r="J15" s="194"/>
      <c r="K15" s="194"/>
      <c r="L15" s="196"/>
    </row>
    <row r="16" spans="2:12" ht="25.5">
      <c r="B16" s="4">
        <v>6</v>
      </c>
      <c r="C16" s="14" t="s">
        <v>23</v>
      </c>
      <c r="D16" s="193">
        <v>177.365</v>
      </c>
      <c r="E16" s="193">
        <v>24.978</v>
      </c>
      <c r="F16" s="193">
        <v>30.15</v>
      </c>
      <c r="G16" s="193">
        <v>609.1254648</v>
      </c>
      <c r="H16" s="193">
        <v>673.90399</v>
      </c>
      <c r="I16" s="193">
        <v>285.97020990000004</v>
      </c>
      <c r="J16" s="193">
        <f>D16/G16*100</f>
        <v>29.11797490821303</v>
      </c>
      <c r="K16" s="193">
        <f>E16/H16*100</f>
        <v>3.7064626965630523</v>
      </c>
      <c r="L16" s="195">
        <f>F16/I16*100</f>
        <v>10.543056219227537</v>
      </c>
    </row>
    <row r="17" spans="2:12" ht="25.5">
      <c r="B17" s="4"/>
      <c r="C17" s="14" t="s">
        <v>24</v>
      </c>
      <c r="D17" s="194"/>
      <c r="E17" s="194"/>
      <c r="F17" s="194"/>
      <c r="G17" s="194"/>
      <c r="H17" s="194"/>
      <c r="I17" s="194"/>
      <c r="J17" s="194"/>
      <c r="K17" s="194"/>
      <c r="L17" s="196"/>
    </row>
    <row r="18" spans="2:12" ht="51">
      <c r="B18" s="4">
        <v>7</v>
      </c>
      <c r="C18" s="14" t="s">
        <v>25</v>
      </c>
      <c r="D18" s="193">
        <v>137.73</v>
      </c>
      <c r="E18" s="193">
        <v>44.998000000000005</v>
      </c>
      <c r="F18" s="193">
        <v>52.03</v>
      </c>
      <c r="G18" s="193">
        <v>367.902976</v>
      </c>
      <c r="H18" s="193">
        <v>432.741616</v>
      </c>
      <c r="I18" s="193">
        <v>182.49664</v>
      </c>
      <c r="J18" s="193">
        <f>D18/G18*100</f>
        <v>37.43650064956256</v>
      </c>
      <c r="K18" s="193">
        <f>E18/H18*100</f>
        <v>10.39835281291735</v>
      </c>
      <c r="L18" s="195">
        <f>F18/I18*100</f>
        <v>28.51011393963198</v>
      </c>
    </row>
    <row r="19" spans="2:12" ht="51">
      <c r="B19" s="4"/>
      <c r="C19" s="14" t="s">
        <v>26</v>
      </c>
      <c r="D19" s="194"/>
      <c r="E19" s="194"/>
      <c r="F19" s="194"/>
      <c r="G19" s="194"/>
      <c r="H19" s="194"/>
      <c r="I19" s="194"/>
      <c r="J19" s="194"/>
      <c r="K19" s="194"/>
      <c r="L19" s="196"/>
    </row>
    <row r="20" spans="2:12" ht="38.25">
      <c r="B20" s="4">
        <v>8</v>
      </c>
      <c r="C20" s="14" t="s">
        <v>27</v>
      </c>
      <c r="D20" s="193">
        <v>49.58</v>
      </c>
      <c r="E20" s="193">
        <v>17.771</v>
      </c>
      <c r="F20" s="193">
        <v>19.03</v>
      </c>
      <c r="G20" s="193">
        <v>366.2432952</v>
      </c>
      <c r="H20" s="193">
        <v>409.83170399999995</v>
      </c>
      <c r="I20" s="193">
        <v>173.7064131</v>
      </c>
      <c r="J20" s="193">
        <f>D20/G20*100</f>
        <v>13.537449190141515</v>
      </c>
      <c r="K20" s="193">
        <f>E20/H20*100</f>
        <v>4.336170146563381</v>
      </c>
      <c r="L20" s="195">
        <f>F20/I20*100</f>
        <v>10.955266222119695</v>
      </c>
    </row>
    <row r="21" spans="2:12" ht="38.25">
      <c r="B21" s="4"/>
      <c r="C21" s="14" t="s">
        <v>28</v>
      </c>
      <c r="D21" s="194"/>
      <c r="E21" s="194"/>
      <c r="F21" s="194"/>
      <c r="G21" s="194"/>
      <c r="H21" s="194"/>
      <c r="I21" s="194"/>
      <c r="J21" s="194"/>
      <c r="K21" s="194"/>
      <c r="L21" s="196"/>
    </row>
    <row r="22" spans="2:12" ht="25.5">
      <c r="B22" s="4">
        <v>9</v>
      </c>
      <c r="C22" s="14" t="s">
        <v>29</v>
      </c>
      <c r="D22" s="193">
        <v>152.367</v>
      </c>
      <c r="E22" s="193">
        <v>17.807000000000002</v>
      </c>
      <c r="F22" s="193">
        <v>27.683</v>
      </c>
      <c r="G22" s="193">
        <v>337.777032</v>
      </c>
      <c r="H22" s="193">
        <v>355.895472</v>
      </c>
      <c r="I22" s="193">
        <v>151.810725</v>
      </c>
      <c r="J22" s="193">
        <f>D22/G22*100</f>
        <v>45.10875091116319</v>
      </c>
      <c r="K22" s="193">
        <f>E22/H22*100</f>
        <v>5.003435390714946</v>
      </c>
      <c r="L22" s="195">
        <f>F22/I22*100</f>
        <v>18.235207031650763</v>
      </c>
    </row>
    <row r="23" spans="2:12" ht="25.5">
      <c r="B23" s="4"/>
      <c r="C23" s="14" t="s">
        <v>30</v>
      </c>
      <c r="D23" s="194"/>
      <c r="E23" s="194"/>
      <c r="F23" s="194"/>
      <c r="G23" s="194"/>
      <c r="H23" s="194"/>
      <c r="I23" s="194"/>
      <c r="J23" s="194"/>
      <c r="K23" s="194"/>
      <c r="L23" s="196"/>
    </row>
    <row r="24" spans="2:12" ht="25.5">
      <c r="B24" s="4">
        <v>10</v>
      </c>
      <c r="C24" s="14" t="s">
        <v>31</v>
      </c>
      <c r="D24" s="193">
        <v>207.23</v>
      </c>
      <c r="E24" s="193">
        <v>54.071</v>
      </c>
      <c r="F24" s="193">
        <v>65.83</v>
      </c>
      <c r="G24" s="193">
        <v>948.4852935999999</v>
      </c>
      <c r="H24" s="193">
        <v>1157.6067059999998</v>
      </c>
      <c r="I24" s="193">
        <v>486.44346129999997</v>
      </c>
      <c r="J24" s="193">
        <f>D24/G24*100</f>
        <v>21.84852009812965</v>
      </c>
      <c r="K24" s="193">
        <f>E24/H24*100</f>
        <v>4.67093009393814</v>
      </c>
      <c r="L24" s="195">
        <f>F24/I24*100</f>
        <v>13.532919082532647</v>
      </c>
    </row>
    <row r="25" spans="2:12" ht="25.5">
      <c r="B25" s="4"/>
      <c r="C25" s="14" t="s">
        <v>32</v>
      </c>
      <c r="D25" s="194"/>
      <c r="E25" s="194"/>
      <c r="F25" s="194"/>
      <c r="G25" s="194"/>
      <c r="H25" s="194"/>
      <c r="I25" s="194"/>
      <c r="J25" s="194"/>
      <c r="K25" s="194"/>
      <c r="L25" s="196"/>
    </row>
    <row r="26" spans="2:12" ht="15">
      <c r="B26" s="4"/>
      <c r="C26" s="190" t="s">
        <v>33</v>
      </c>
      <c r="D26" s="192"/>
      <c r="E26" s="191"/>
      <c r="F26" s="11"/>
      <c r="G26" s="11"/>
      <c r="H26" s="11"/>
      <c r="I26" s="11"/>
      <c r="J26" s="11"/>
      <c r="K26" s="11"/>
      <c r="L26" s="12"/>
    </row>
    <row r="27" spans="2:12" ht="38.25">
      <c r="B27" s="4">
        <v>11</v>
      </c>
      <c r="C27" s="10" t="s">
        <v>34</v>
      </c>
      <c r="D27" s="11">
        <v>116.06</v>
      </c>
      <c r="E27" s="11">
        <v>32.832</v>
      </c>
      <c r="F27" s="11">
        <v>53.58</v>
      </c>
      <c r="G27" s="11">
        <v>504.8068200000001</v>
      </c>
      <c r="H27" s="11">
        <v>414.06178450000004</v>
      </c>
      <c r="I27" s="11">
        <v>182.0910315</v>
      </c>
      <c r="J27" s="11">
        <f>D27/G27*100</f>
        <v>22.99097306173478</v>
      </c>
      <c r="K27" s="11">
        <f>E27/H27*100</f>
        <v>7.92925143759554</v>
      </c>
      <c r="L27" s="12">
        <f>F27/I27*100</f>
        <v>29.424842925336492</v>
      </c>
    </row>
    <row r="28" spans="2:12" ht="25.5">
      <c r="B28" s="4">
        <v>12</v>
      </c>
      <c r="C28" s="10" t="s">
        <v>35</v>
      </c>
      <c r="D28" s="11">
        <v>81.83</v>
      </c>
      <c r="E28" s="11">
        <v>24.5</v>
      </c>
      <c r="F28" s="11">
        <v>69.38</v>
      </c>
      <c r="G28" s="11">
        <v>218.32860000000002</v>
      </c>
      <c r="H28" s="11">
        <v>179.08143500000003</v>
      </c>
      <c r="I28" s="11">
        <v>78.754245</v>
      </c>
      <c r="J28" s="11">
        <f aca="true" t="shared" si="1" ref="J28:L33">D28/G28*100</f>
        <v>37.48020186086477</v>
      </c>
      <c r="K28" s="11">
        <f t="shared" si="1"/>
        <v>13.680926780601238</v>
      </c>
      <c r="L28" s="12">
        <f t="shared" si="1"/>
        <v>88.09683846248542</v>
      </c>
    </row>
    <row r="29" spans="2:12" ht="38.25">
      <c r="B29" s="4">
        <v>13</v>
      </c>
      <c r="C29" s="10" t="s">
        <v>36</v>
      </c>
      <c r="D29" s="11">
        <v>10.62</v>
      </c>
      <c r="E29" s="11">
        <v>3.168</v>
      </c>
      <c r="F29" s="11">
        <v>5.52</v>
      </c>
      <c r="G29" s="11">
        <v>98.35602</v>
      </c>
      <c r="H29" s="11">
        <v>80.6753545</v>
      </c>
      <c r="I29" s="11">
        <v>35.4784215</v>
      </c>
      <c r="J29" s="11">
        <f t="shared" si="1"/>
        <v>10.797508886593825</v>
      </c>
      <c r="K29" s="11">
        <f t="shared" si="1"/>
        <v>3.926849803926179</v>
      </c>
      <c r="L29" s="12">
        <f t="shared" si="1"/>
        <v>15.558753086013139</v>
      </c>
    </row>
    <row r="30" spans="2:12" ht="38.25">
      <c r="B30" s="4">
        <v>14</v>
      </c>
      <c r="C30" s="10" t="s">
        <v>37</v>
      </c>
      <c r="D30" s="11">
        <v>110</v>
      </c>
      <c r="E30" s="11">
        <v>42.114000000000004</v>
      </c>
      <c r="F30" s="11">
        <v>16.3</v>
      </c>
      <c r="G30" s="11">
        <v>281.48652000000004</v>
      </c>
      <c r="H30" s="11">
        <v>230.88596700000002</v>
      </c>
      <c r="I30" s="11">
        <v>101.53620900000001</v>
      </c>
      <c r="J30" s="11">
        <f t="shared" si="1"/>
        <v>39.078247867784214</v>
      </c>
      <c r="K30" s="11">
        <f t="shared" si="1"/>
        <v>18.240173080765885</v>
      </c>
      <c r="L30" s="12">
        <f t="shared" si="1"/>
        <v>16.053386432814325</v>
      </c>
    </row>
    <row r="31" spans="2:12" ht="38.25">
      <c r="B31" s="4">
        <v>15</v>
      </c>
      <c r="C31" s="10" t="s">
        <v>38</v>
      </c>
      <c r="D31" s="11">
        <v>42.8</v>
      </c>
      <c r="E31" s="11">
        <v>26.761</v>
      </c>
      <c r="F31" s="11">
        <v>18.12</v>
      </c>
      <c r="G31" s="11">
        <v>176.7444</v>
      </c>
      <c r="H31" s="11">
        <v>144.97249</v>
      </c>
      <c r="I31" s="11">
        <v>63.75423</v>
      </c>
      <c r="J31" s="11">
        <f t="shared" si="1"/>
        <v>24.215760159869276</v>
      </c>
      <c r="K31" s="11">
        <f t="shared" si="1"/>
        <v>18.459364255935732</v>
      </c>
      <c r="L31" s="12">
        <f t="shared" si="1"/>
        <v>28.421643552121957</v>
      </c>
    </row>
    <row r="32" spans="2:12" ht="25.5">
      <c r="B32" s="4">
        <v>16</v>
      </c>
      <c r="C32" s="10" t="s">
        <v>39</v>
      </c>
      <c r="D32" s="11">
        <v>62.05</v>
      </c>
      <c r="E32" s="11">
        <f>108.397-85.09</f>
        <v>23.307000000000002</v>
      </c>
      <c r="F32" s="11">
        <f>222.71-198.52</f>
        <v>24.189999999999998</v>
      </c>
      <c r="G32" s="11">
        <v>219.74442000000002</v>
      </c>
      <c r="H32" s="11">
        <v>180.24274450000001</v>
      </c>
      <c r="I32" s="11">
        <v>79.26495150000001</v>
      </c>
      <c r="J32" s="11">
        <f t="shared" si="1"/>
        <v>28.237349553631436</v>
      </c>
      <c r="K32" s="15">
        <f t="shared" si="1"/>
        <v>12.930894979797646</v>
      </c>
      <c r="L32" s="16">
        <f t="shared" si="1"/>
        <v>30.517901723563153</v>
      </c>
    </row>
    <row r="33" spans="2:12" ht="38.25">
      <c r="B33" s="4">
        <v>17</v>
      </c>
      <c r="C33" s="17" t="s">
        <v>40</v>
      </c>
      <c r="D33" s="11">
        <v>152.46</v>
      </c>
      <c r="E33" s="11">
        <v>36.9</v>
      </c>
      <c r="F33" s="11">
        <v>137.98</v>
      </c>
      <c r="G33" s="11">
        <v>411.09516</v>
      </c>
      <c r="H33" s="11">
        <v>337.195911</v>
      </c>
      <c r="I33" s="11">
        <v>148.287897</v>
      </c>
      <c r="J33" s="11">
        <f t="shared" si="1"/>
        <v>37.08630381345282</v>
      </c>
      <c r="K33" s="11">
        <f t="shared" si="1"/>
        <v>10.943193199042083</v>
      </c>
      <c r="L33" s="18">
        <f t="shared" si="1"/>
        <v>93.04872669412798</v>
      </c>
    </row>
    <row r="34" spans="2:12" ht="13.5" thickBot="1">
      <c r="B34" s="19"/>
      <c r="C34" s="20" t="s">
        <v>41</v>
      </c>
      <c r="D34" s="21">
        <v>1973.795</v>
      </c>
      <c r="E34" s="21">
        <v>666.8259999999999</v>
      </c>
      <c r="F34" s="21">
        <v>923.6769999999999</v>
      </c>
      <c r="G34" s="21">
        <f>SUM(G7:G33)</f>
        <v>6415.131487199999</v>
      </c>
      <c r="H34" s="21">
        <f>SUM(H7:H33)</f>
        <v>6864.8678145</v>
      </c>
      <c r="I34" s="21">
        <f>SUM(I7:I33)</f>
        <v>2923.3742901</v>
      </c>
      <c r="J34" s="21">
        <f>D34/G34*100</f>
        <v>30.76780271672185</v>
      </c>
      <c r="K34" s="21">
        <f>E34/H34*100</f>
        <v>9.713602912958171</v>
      </c>
      <c r="L34" s="22">
        <f>F34/I34*100</f>
        <v>31.596262002030663</v>
      </c>
    </row>
    <row r="35" spans="2:12" ht="12.75">
      <c r="B35" s="197"/>
      <c r="C35" s="197"/>
      <c r="D35" s="23"/>
      <c r="G35" s="24"/>
      <c r="H35" s="25"/>
      <c r="I35" s="26"/>
      <c r="J35" s="26"/>
      <c r="K35" s="26"/>
      <c r="L35" s="26"/>
    </row>
    <row r="36" spans="2:12" ht="18">
      <c r="B36" s="180"/>
      <c r="C36" s="180"/>
      <c r="D36" s="198"/>
      <c r="E36" s="199"/>
      <c r="F36" s="199"/>
      <c r="G36" s="24"/>
      <c r="H36" s="25"/>
      <c r="I36" s="26"/>
      <c r="J36" s="26"/>
      <c r="K36" s="26"/>
      <c r="L36" s="26"/>
    </row>
  </sheetData>
  <mergeCells count="84">
    <mergeCell ref="C26:E26"/>
    <mergeCell ref="B35:B36"/>
    <mergeCell ref="C35:C36"/>
    <mergeCell ref="D36:F36"/>
    <mergeCell ref="L22:L23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H22:H23"/>
    <mergeCell ref="I22:I23"/>
    <mergeCell ref="J22:J23"/>
    <mergeCell ref="K22:K23"/>
    <mergeCell ref="D22:D23"/>
    <mergeCell ref="E22:E23"/>
    <mergeCell ref="F22:F23"/>
    <mergeCell ref="G22:G23"/>
    <mergeCell ref="L18:L19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H18:H19"/>
    <mergeCell ref="I18:I19"/>
    <mergeCell ref="J18:J19"/>
    <mergeCell ref="K18:K19"/>
    <mergeCell ref="D18:D19"/>
    <mergeCell ref="E18:E19"/>
    <mergeCell ref="F18:F19"/>
    <mergeCell ref="G18:G19"/>
    <mergeCell ref="L14:L15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K12:K13"/>
    <mergeCell ref="L12:L13"/>
    <mergeCell ref="D14:D15"/>
    <mergeCell ref="E14:E15"/>
    <mergeCell ref="F14:F15"/>
    <mergeCell ref="G14:G15"/>
    <mergeCell ref="H14:H15"/>
    <mergeCell ref="I14:I15"/>
    <mergeCell ref="J14:J15"/>
    <mergeCell ref="K14:K15"/>
    <mergeCell ref="J10:J11"/>
    <mergeCell ref="K10:K11"/>
    <mergeCell ref="L10:L11"/>
    <mergeCell ref="D12:D13"/>
    <mergeCell ref="E12:E13"/>
    <mergeCell ref="F12:F13"/>
    <mergeCell ref="G12:G13"/>
    <mergeCell ref="H12:H13"/>
    <mergeCell ref="I12:I13"/>
    <mergeCell ref="J12:J13"/>
    <mergeCell ref="F10:F11"/>
    <mergeCell ref="G10:G11"/>
    <mergeCell ref="H10:H11"/>
    <mergeCell ref="I10:I11"/>
    <mergeCell ref="C6:D6"/>
    <mergeCell ref="C9:E9"/>
    <mergeCell ref="D10:D11"/>
    <mergeCell ref="E10:E11"/>
    <mergeCell ref="B2:L2"/>
    <mergeCell ref="B4:B5"/>
    <mergeCell ref="C4:C5"/>
    <mergeCell ref="D4:F4"/>
    <mergeCell ref="G4:I4"/>
    <mergeCell ref="J4:L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I33"/>
  <sheetViews>
    <sheetView workbookViewId="0" topLeftCell="A1">
      <selection activeCell="L28" sqref="L28"/>
    </sheetView>
  </sheetViews>
  <sheetFormatPr defaultColWidth="9.00390625" defaultRowHeight="12.75"/>
  <cols>
    <col min="4" max="4" width="16.00390625" style="0" customWidth="1"/>
    <col min="5" max="5" width="11.875" style="0" customWidth="1"/>
    <col min="6" max="6" width="14.25390625" style="0" customWidth="1"/>
    <col min="7" max="7" width="14.00390625" style="0" customWidth="1"/>
    <col min="8" max="8" width="14.25390625" style="0" customWidth="1"/>
    <col min="9" max="9" width="15.75390625" style="0" customWidth="1"/>
  </cols>
  <sheetData>
    <row r="3" spans="2:9" ht="12.75">
      <c r="B3" s="200" t="s">
        <v>157</v>
      </c>
      <c r="C3" s="200"/>
      <c r="D3" s="200"/>
      <c r="E3" s="200"/>
      <c r="F3" s="200"/>
      <c r="G3" s="200"/>
      <c r="H3" s="200"/>
      <c r="I3" s="200"/>
    </row>
    <row r="4" spans="3:9" ht="63.75">
      <c r="C4" s="52" t="s">
        <v>158</v>
      </c>
      <c r="D4" s="53" t="s">
        <v>159</v>
      </c>
      <c r="E4" s="53" t="s">
        <v>160</v>
      </c>
      <c r="F4" s="54" t="s">
        <v>161</v>
      </c>
      <c r="G4" s="53" t="s">
        <v>162</v>
      </c>
      <c r="H4" s="53" t="s">
        <v>163</v>
      </c>
      <c r="I4" s="53" t="s">
        <v>164</v>
      </c>
    </row>
    <row r="5" spans="3:9" ht="15">
      <c r="C5" s="201" t="s">
        <v>13</v>
      </c>
      <c r="D5" s="202"/>
      <c r="E5" s="202"/>
      <c r="F5" s="202"/>
      <c r="G5" s="202"/>
      <c r="H5" s="203"/>
      <c r="I5" s="55"/>
    </row>
    <row r="6" spans="3:9" ht="12.75">
      <c r="C6" s="56"/>
      <c r="D6" s="57" t="s">
        <v>14</v>
      </c>
      <c r="E6" s="58">
        <v>25000</v>
      </c>
      <c r="F6" s="58">
        <v>25000</v>
      </c>
      <c r="G6" s="59">
        <v>25250</v>
      </c>
      <c r="H6" s="59">
        <v>26000</v>
      </c>
      <c r="I6" s="59">
        <v>26250</v>
      </c>
    </row>
    <row r="7" spans="3:9" ht="12.75">
      <c r="C7" s="60"/>
      <c r="D7" s="32" t="s">
        <v>15</v>
      </c>
      <c r="E7" s="31">
        <v>8600</v>
      </c>
      <c r="F7" s="31">
        <v>8600</v>
      </c>
      <c r="G7" s="6">
        <v>8686</v>
      </c>
      <c r="H7" s="6">
        <v>8944</v>
      </c>
      <c r="I7" s="6">
        <v>9030</v>
      </c>
    </row>
    <row r="8" spans="3:9" ht="15">
      <c r="C8" s="201" t="s">
        <v>16</v>
      </c>
      <c r="D8" s="202"/>
      <c r="E8" s="203"/>
      <c r="F8" s="61"/>
      <c r="G8" s="61"/>
      <c r="H8" s="35"/>
      <c r="I8" s="35"/>
    </row>
    <row r="9" spans="3:9" ht="12.75">
      <c r="C9" s="114"/>
      <c r="D9" s="32" t="s">
        <v>17</v>
      </c>
      <c r="E9" s="31">
        <v>6246</v>
      </c>
      <c r="F9" s="8"/>
      <c r="G9" s="6">
        <v>6308.46</v>
      </c>
      <c r="H9" s="6">
        <v>6495.84</v>
      </c>
      <c r="I9" s="6" t="s">
        <v>153</v>
      </c>
    </row>
    <row r="10" spans="3:9" ht="12.75">
      <c r="C10" s="115"/>
      <c r="D10" s="32" t="s">
        <v>18</v>
      </c>
      <c r="E10" s="31">
        <v>5517</v>
      </c>
      <c r="F10" s="31">
        <v>11763</v>
      </c>
      <c r="G10" s="6">
        <v>5572.17</v>
      </c>
      <c r="H10" s="6">
        <v>5737.68</v>
      </c>
      <c r="I10" s="6">
        <v>12351.15</v>
      </c>
    </row>
    <row r="11" spans="3:9" ht="12.75">
      <c r="C11" s="114"/>
      <c r="D11" s="32" t="s">
        <v>19</v>
      </c>
      <c r="E11" s="31">
        <v>8425</v>
      </c>
      <c r="F11" s="6"/>
      <c r="G11" s="6">
        <v>8509.25</v>
      </c>
      <c r="H11" s="6">
        <v>8762</v>
      </c>
      <c r="I11" s="6" t="s">
        <v>153</v>
      </c>
    </row>
    <row r="12" spans="3:9" ht="12.75">
      <c r="C12" s="115"/>
      <c r="D12" s="32" t="s">
        <v>20</v>
      </c>
      <c r="E12" s="31">
        <v>7181</v>
      </c>
      <c r="F12" s="31">
        <v>15605</v>
      </c>
      <c r="G12" s="6">
        <v>7252.81</v>
      </c>
      <c r="H12" s="6">
        <v>7468.24</v>
      </c>
      <c r="I12" s="6">
        <v>16385.25</v>
      </c>
    </row>
    <row r="13" spans="3:9" ht="12.75">
      <c r="C13" s="114"/>
      <c r="D13" s="32" t="s">
        <v>21</v>
      </c>
      <c r="E13" s="31">
        <v>6510</v>
      </c>
      <c r="F13" s="6"/>
      <c r="G13" s="6">
        <v>6575.1</v>
      </c>
      <c r="H13" s="6">
        <v>6770.4</v>
      </c>
      <c r="I13" s="6" t="s">
        <v>153</v>
      </c>
    </row>
    <row r="14" spans="3:9" ht="12.75">
      <c r="C14" s="115"/>
      <c r="D14" s="32" t="s">
        <v>22</v>
      </c>
      <c r="E14" s="31">
        <v>8635</v>
      </c>
      <c r="F14" s="31">
        <v>15145</v>
      </c>
      <c r="G14" s="6">
        <v>8721.35</v>
      </c>
      <c r="H14" s="6">
        <v>8980.4</v>
      </c>
      <c r="I14" s="6">
        <v>15902.25</v>
      </c>
    </row>
    <row r="15" spans="3:9" ht="12.75">
      <c r="C15" s="114"/>
      <c r="D15" s="32" t="s">
        <v>23</v>
      </c>
      <c r="E15" s="31">
        <v>12088</v>
      </c>
      <c r="F15" s="6"/>
      <c r="G15" s="6">
        <v>12208.88</v>
      </c>
      <c r="H15" s="6">
        <v>12571.52</v>
      </c>
      <c r="I15" s="6" t="s">
        <v>153</v>
      </c>
    </row>
    <row r="16" spans="3:9" ht="12.75">
      <c r="C16" s="115"/>
      <c r="D16" s="32" t="s">
        <v>24</v>
      </c>
      <c r="E16" s="31">
        <v>12091</v>
      </c>
      <c r="F16" s="31">
        <v>24179</v>
      </c>
      <c r="G16" s="6">
        <v>12211.91</v>
      </c>
      <c r="H16" s="6">
        <v>12574.64</v>
      </c>
      <c r="I16" s="6">
        <v>25387.95</v>
      </c>
    </row>
    <row r="17" spans="3:9" ht="25.5">
      <c r="C17" s="114"/>
      <c r="D17" s="32" t="s">
        <v>25</v>
      </c>
      <c r="E17" s="31">
        <v>9760</v>
      </c>
      <c r="F17" s="6"/>
      <c r="G17" s="6">
        <v>9857.6</v>
      </c>
      <c r="H17" s="6">
        <v>10150.4</v>
      </c>
      <c r="I17" s="6" t="s">
        <v>153</v>
      </c>
    </row>
    <row r="18" spans="3:9" ht="25.5">
      <c r="C18" s="115"/>
      <c r="D18" s="32" t="s">
        <v>26</v>
      </c>
      <c r="E18" s="31">
        <v>5386</v>
      </c>
      <c r="F18" s="31">
        <v>15146</v>
      </c>
      <c r="G18" s="6">
        <v>5439.86</v>
      </c>
      <c r="H18" s="6">
        <v>5601.44</v>
      </c>
      <c r="I18" s="6">
        <v>15903.3</v>
      </c>
    </row>
    <row r="19" spans="3:9" ht="12.75">
      <c r="C19" s="114"/>
      <c r="D19" s="32" t="s">
        <v>27</v>
      </c>
      <c r="E19" s="31">
        <v>7952</v>
      </c>
      <c r="F19" s="6"/>
      <c r="G19" s="6">
        <v>8031.52</v>
      </c>
      <c r="H19" s="6">
        <v>8270.08</v>
      </c>
      <c r="I19" s="6" t="s">
        <v>153</v>
      </c>
    </row>
    <row r="20" spans="3:9" ht="12.75">
      <c r="C20" s="115"/>
      <c r="D20" s="32" t="s">
        <v>28</v>
      </c>
      <c r="E20" s="31">
        <v>7420</v>
      </c>
      <c r="F20" s="31">
        <v>15375</v>
      </c>
      <c r="G20" s="6">
        <v>7494.2</v>
      </c>
      <c r="H20" s="6">
        <v>7716.8</v>
      </c>
      <c r="I20" s="6">
        <v>16143.75</v>
      </c>
    </row>
    <row r="21" spans="3:9" ht="12.75">
      <c r="C21" s="114"/>
      <c r="D21" s="32" t="s">
        <v>29</v>
      </c>
      <c r="E21" s="31">
        <v>5245</v>
      </c>
      <c r="F21" s="6"/>
      <c r="G21" s="6">
        <v>5297.45</v>
      </c>
      <c r="H21" s="6">
        <v>5454.8</v>
      </c>
      <c r="I21" s="6" t="s">
        <v>153</v>
      </c>
    </row>
    <row r="22" spans="3:9" ht="12.75">
      <c r="C22" s="115"/>
      <c r="D22" s="32" t="s">
        <v>30</v>
      </c>
      <c r="E22" s="31">
        <v>9012</v>
      </c>
      <c r="F22" s="31">
        <v>14257</v>
      </c>
      <c r="G22" s="6">
        <v>9102.12</v>
      </c>
      <c r="H22" s="6">
        <v>9372.48</v>
      </c>
      <c r="I22" s="6">
        <v>14969.85</v>
      </c>
    </row>
    <row r="23" spans="3:9" ht="12.75">
      <c r="C23" s="114"/>
      <c r="D23" s="32" t="s">
        <v>31</v>
      </c>
      <c r="E23" s="31">
        <v>26741</v>
      </c>
      <c r="F23" s="6"/>
      <c r="G23" s="6">
        <v>27008.41</v>
      </c>
      <c r="H23" s="6">
        <v>27810.64</v>
      </c>
      <c r="I23" s="6" t="s">
        <v>153</v>
      </c>
    </row>
    <row r="24" spans="3:9" ht="12.75">
      <c r="C24" s="115"/>
      <c r="D24" s="32" t="s">
        <v>32</v>
      </c>
      <c r="E24" s="31">
        <v>8810</v>
      </c>
      <c r="F24" s="31">
        <v>35551</v>
      </c>
      <c r="G24" s="6">
        <v>8898.1</v>
      </c>
      <c r="H24" s="6">
        <v>9162.4</v>
      </c>
      <c r="I24" s="6">
        <v>37328.55</v>
      </c>
    </row>
    <row r="25" spans="3:9" ht="15">
      <c r="C25" s="201" t="s">
        <v>33</v>
      </c>
      <c r="D25" s="202"/>
      <c r="E25" s="203"/>
      <c r="F25" s="61"/>
      <c r="G25" s="61"/>
      <c r="H25" s="35"/>
      <c r="I25" s="35"/>
    </row>
    <row r="26" spans="3:9" ht="12.75">
      <c r="C26" s="34"/>
      <c r="D26" s="32" t="s">
        <v>34</v>
      </c>
      <c r="E26" s="31">
        <v>21889</v>
      </c>
      <c r="F26" s="31">
        <v>21889</v>
      </c>
      <c r="G26" s="6">
        <v>22107.89</v>
      </c>
      <c r="H26" s="6">
        <v>22764.56</v>
      </c>
      <c r="I26" s="6">
        <v>22983.45</v>
      </c>
    </row>
    <row r="27" spans="3:9" ht="12.75">
      <c r="C27" s="34"/>
      <c r="D27" s="32" t="s">
        <v>35</v>
      </c>
      <c r="E27" s="31">
        <v>10198</v>
      </c>
      <c r="F27" s="31">
        <v>10198</v>
      </c>
      <c r="G27" s="6">
        <v>10299.98</v>
      </c>
      <c r="H27" s="6">
        <v>10605.92</v>
      </c>
      <c r="I27" s="6">
        <v>10707.9</v>
      </c>
    </row>
    <row r="28" spans="3:9" ht="12.75">
      <c r="C28" s="34"/>
      <c r="D28" s="32" t="s">
        <v>36</v>
      </c>
      <c r="E28" s="31">
        <v>4757</v>
      </c>
      <c r="F28" s="31">
        <v>4757</v>
      </c>
      <c r="G28" s="6">
        <v>4804.57</v>
      </c>
      <c r="H28" s="6">
        <v>4947.28</v>
      </c>
      <c r="I28" s="6">
        <v>4994.85</v>
      </c>
    </row>
    <row r="29" spans="3:9" ht="12.75">
      <c r="C29" s="34"/>
      <c r="D29" s="32" t="s">
        <v>37</v>
      </c>
      <c r="E29" s="31">
        <v>12139</v>
      </c>
      <c r="F29" s="31">
        <v>12139</v>
      </c>
      <c r="G29" s="6">
        <v>12260.39</v>
      </c>
      <c r="H29" s="6">
        <v>12624.56</v>
      </c>
      <c r="I29" s="6">
        <v>12745.95</v>
      </c>
    </row>
    <row r="30" spans="3:9" ht="12.75">
      <c r="C30" s="34"/>
      <c r="D30" s="32" t="s">
        <v>38</v>
      </c>
      <c r="E30" s="31">
        <v>7635</v>
      </c>
      <c r="F30" s="31">
        <v>7635</v>
      </c>
      <c r="G30" s="6">
        <v>7711.35</v>
      </c>
      <c r="H30" s="6">
        <v>7940.4</v>
      </c>
      <c r="I30" s="6">
        <v>8016.75</v>
      </c>
    </row>
    <row r="31" spans="3:9" ht="12.75">
      <c r="C31" s="34"/>
      <c r="D31" s="32" t="s">
        <v>39</v>
      </c>
      <c r="E31" s="31">
        <v>9464</v>
      </c>
      <c r="F31" s="31">
        <v>9464</v>
      </c>
      <c r="G31" s="6">
        <v>9558.64</v>
      </c>
      <c r="H31" s="6">
        <v>9842.56</v>
      </c>
      <c r="I31" s="6">
        <v>9937.2</v>
      </c>
    </row>
    <row r="32" spans="3:9" ht="25.5">
      <c r="C32" s="34"/>
      <c r="D32" s="32" t="s">
        <v>40</v>
      </c>
      <c r="E32" s="31">
        <v>17177</v>
      </c>
      <c r="F32" s="31">
        <v>17177</v>
      </c>
      <c r="G32" s="6">
        <v>17348.77</v>
      </c>
      <c r="H32" s="6">
        <v>17864.08</v>
      </c>
      <c r="I32" s="6">
        <v>18035.85</v>
      </c>
    </row>
    <row r="33" spans="3:9" ht="12.75">
      <c r="C33" s="204" t="s">
        <v>114</v>
      </c>
      <c r="D33" s="205"/>
      <c r="E33" s="206"/>
      <c r="F33" s="37">
        <v>263880</v>
      </c>
      <c r="G33" s="37">
        <v>266516.78</v>
      </c>
      <c r="H33" s="8">
        <v>274433.12</v>
      </c>
      <c r="I33" s="8">
        <v>277074</v>
      </c>
    </row>
  </sheetData>
  <mergeCells count="13">
    <mergeCell ref="C33:E33"/>
    <mergeCell ref="C19:C20"/>
    <mergeCell ref="C21:C22"/>
    <mergeCell ref="C23:C24"/>
    <mergeCell ref="C25:E25"/>
    <mergeCell ref="C11:C12"/>
    <mergeCell ref="C13:C14"/>
    <mergeCell ref="C15:C16"/>
    <mergeCell ref="C17:C18"/>
    <mergeCell ref="B3:I3"/>
    <mergeCell ref="C5:H5"/>
    <mergeCell ref="C8:E8"/>
    <mergeCell ref="C9:C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"/>
    </sheetView>
  </sheetViews>
  <sheetFormatPr defaultColWidth="9.00390625" defaultRowHeight="12.75"/>
  <cols>
    <col min="2" max="2" width="14.75390625" style="0" customWidth="1"/>
  </cols>
  <sheetData>
    <row r="1" ht="15">
      <c r="A1" s="126" t="s">
        <v>255</v>
      </c>
    </row>
    <row r="2" spans="1:13" ht="78.75">
      <c r="A2" s="146" t="s">
        <v>158</v>
      </c>
      <c r="B2" s="147" t="s">
        <v>159</v>
      </c>
      <c r="C2" s="147" t="s">
        <v>209</v>
      </c>
      <c r="D2" s="147" t="s">
        <v>256</v>
      </c>
      <c r="E2" s="147" t="s">
        <v>257</v>
      </c>
      <c r="F2" s="147" t="s">
        <v>258</v>
      </c>
      <c r="G2" s="147" t="s">
        <v>259</v>
      </c>
      <c r="H2" s="147" t="s">
        <v>260</v>
      </c>
      <c r="I2" s="147" t="s">
        <v>261</v>
      </c>
      <c r="J2" s="147" t="s">
        <v>262</v>
      </c>
      <c r="K2" s="147" t="s">
        <v>263</v>
      </c>
      <c r="L2" s="147" t="s">
        <v>264</v>
      </c>
      <c r="M2" s="147" t="s">
        <v>265</v>
      </c>
    </row>
    <row r="3" spans="1:13" ht="12.75">
      <c r="A3" s="148"/>
      <c r="B3" s="149" t="s">
        <v>266</v>
      </c>
      <c r="C3" s="149"/>
      <c r="D3" s="149"/>
      <c r="E3" s="149"/>
      <c r="F3" s="149"/>
      <c r="G3" s="149"/>
      <c r="H3" s="149"/>
      <c r="I3" s="149"/>
      <c r="J3" s="149"/>
      <c r="K3" s="150"/>
      <c r="L3" s="150"/>
      <c r="M3" s="151"/>
    </row>
    <row r="4" spans="1:13" ht="12.75">
      <c r="A4" s="152" t="s">
        <v>267</v>
      </c>
      <c r="B4" s="153" t="s">
        <v>14</v>
      </c>
      <c r="C4" s="150">
        <v>0.3</v>
      </c>
      <c r="D4" s="154">
        <v>7500</v>
      </c>
      <c r="E4" s="155">
        <v>750</v>
      </c>
      <c r="F4" s="155">
        <v>600</v>
      </c>
      <c r="G4" s="155">
        <v>750</v>
      </c>
      <c r="H4" s="150">
        <v>121</v>
      </c>
      <c r="I4" s="150">
        <v>14</v>
      </c>
      <c r="J4" s="156">
        <v>9735</v>
      </c>
      <c r="K4" s="157">
        <v>9832.8</v>
      </c>
      <c r="L4" s="157">
        <v>10124.87</v>
      </c>
      <c r="M4" s="157">
        <v>10222.22</v>
      </c>
    </row>
    <row r="5" spans="1:13" ht="12.75">
      <c r="A5" s="152" t="s">
        <v>268</v>
      </c>
      <c r="B5" s="153" t="s">
        <v>15</v>
      </c>
      <c r="C5" s="150">
        <v>0.3</v>
      </c>
      <c r="D5" s="154">
        <v>2580</v>
      </c>
      <c r="E5" s="155">
        <v>516</v>
      </c>
      <c r="F5" s="155">
        <v>206</v>
      </c>
      <c r="G5" s="155">
        <v>258</v>
      </c>
      <c r="H5" s="150">
        <v>60</v>
      </c>
      <c r="I5" s="150">
        <v>56</v>
      </c>
      <c r="J5" s="156">
        <v>3677</v>
      </c>
      <c r="K5" s="157">
        <v>3713.74</v>
      </c>
      <c r="L5" s="157">
        <v>3824.05</v>
      </c>
      <c r="M5" s="157">
        <v>3860.82</v>
      </c>
    </row>
    <row r="6" spans="1:13" ht="21.75">
      <c r="A6" s="148"/>
      <c r="B6" s="158" t="s">
        <v>269</v>
      </c>
      <c r="C6" s="150"/>
      <c r="D6" s="149"/>
      <c r="E6" s="149"/>
      <c r="F6" s="155"/>
      <c r="G6" s="155"/>
      <c r="H6" s="150"/>
      <c r="I6" s="150"/>
      <c r="J6" s="157">
        <v>0</v>
      </c>
      <c r="K6" s="157">
        <v>0</v>
      </c>
      <c r="L6" s="157">
        <v>0</v>
      </c>
      <c r="M6" s="157">
        <v>0</v>
      </c>
    </row>
    <row r="7" spans="1:13" ht="12.75">
      <c r="A7" s="207" t="s">
        <v>270</v>
      </c>
      <c r="B7" s="153" t="s">
        <v>17</v>
      </c>
      <c r="C7" s="150">
        <v>0.3</v>
      </c>
      <c r="D7" s="154">
        <v>1874</v>
      </c>
      <c r="E7" s="155">
        <v>187</v>
      </c>
      <c r="F7" s="155">
        <v>150</v>
      </c>
      <c r="G7" s="155">
        <v>187</v>
      </c>
      <c r="H7" s="150">
        <v>75</v>
      </c>
      <c r="I7" s="150">
        <v>6</v>
      </c>
      <c r="J7" s="156">
        <v>2479</v>
      </c>
      <c r="K7" s="157">
        <v>2503.8</v>
      </c>
      <c r="L7" s="157">
        <v>2578.17</v>
      </c>
      <c r="M7" s="157">
        <v>2602.96</v>
      </c>
    </row>
    <row r="8" spans="1:13" ht="12.75">
      <c r="A8" s="208"/>
      <c r="B8" s="153" t="s">
        <v>18</v>
      </c>
      <c r="C8" s="150">
        <v>0.2</v>
      </c>
      <c r="D8" s="154">
        <v>1103</v>
      </c>
      <c r="E8" s="155">
        <v>0</v>
      </c>
      <c r="F8" s="155">
        <v>55</v>
      </c>
      <c r="G8" s="155">
        <v>166</v>
      </c>
      <c r="H8" s="150"/>
      <c r="I8" s="150"/>
      <c r="J8" s="156">
        <v>1324</v>
      </c>
      <c r="K8" s="157">
        <v>1337.32</v>
      </c>
      <c r="L8" s="157">
        <v>1377.04</v>
      </c>
      <c r="M8" s="157">
        <v>1390.28</v>
      </c>
    </row>
    <row r="9" spans="1:13" ht="12.75">
      <c r="A9" s="207" t="s">
        <v>271</v>
      </c>
      <c r="B9" s="153" t="s">
        <v>19</v>
      </c>
      <c r="C9" s="150">
        <v>0.3</v>
      </c>
      <c r="D9" s="154">
        <v>2528</v>
      </c>
      <c r="E9" s="155">
        <v>25</v>
      </c>
      <c r="F9" s="155">
        <v>202</v>
      </c>
      <c r="G9" s="155">
        <v>253</v>
      </c>
      <c r="H9" s="150">
        <v>77</v>
      </c>
      <c r="I9" s="150">
        <v>5</v>
      </c>
      <c r="J9" s="156">
        <v>3090</v>
      </c>
      <c r="K9" s="157">
        <v>3120.42</v>
      </c>
      <c r="L9" s="157">
        <v>3213.11</v>
      </c>
      <c r="M9" s="157">
        <v>3244</v>
      </c>
    </row>
    <row r="10" spans="1:13" ht="12.75">
      <c r="A10" s="208"/>
      <c r="B10" s="153" t="s">
        <v>20</v>
      </c>
      <c r="C10" s="150">
        <v>0.2</v>
      </c>
      <c r="D10" s="154">
        <v>1436</v>
      </c>
      <c r="E10" s="155">
        <v>0</v>
      </c>
      <c r="F10" s="155">
        <v>72</v>
      </c>
      <c r="G10" s="155">
        <v>215</v>
      </c>
      <c r="H10" s="150"/>
      <c r="I10" s="150"/>
      <c r="J10" s="156">
        <v>1723</v>
      </c>
      <c r="K10" s="157">
        <v>1740.67</v>
      </c>
      <c r="L10" s="157">
        <v>1792.38</v>
      </c>
      <c r="M10" s="157">
        <v>1809.61</v>
      </c>
    </row>
    <row r="11" spans="1:13" ht="12.75">
      <c r="A11" s="207" t="s">
        <v>272</v>
      </c>
      <c r="B11" s="153" t="s">
        <v>21</v>
      </c>
      <c r="C11" s="150">
        <v>0.3</v>
      </c>
      <c r="D11" s="154">
        <v>1953</v>
      </c>
      <c r="E11" s="155">
        <v>195</v>
      </c>
      <c r="F11" s="155">
        <v>156</v>
      </c>
      <c r="G11" s="155">
        <v>195</v>
      </c>
      <c r="H11" s="150">
        <v>81</v>
      </c>
      <c r="I11" s="150">
        <v>200</v>
      </c>
      <c r="J11" s="156">
        <v>2781</v>
      </c>
      <c r="K11" s="157">
        <v>2808.32</v>
      </c>
      <c r="L11" s="157">
        <v>2891.74</v>
      </c>
      <c r="M11" s="157">
        <v>2919.54</v>
      </c>
    </row>
    <row r="12" spans="1:13" ht="12.75">
      <c r="A12" s="208"/>
      <c r="B12" s="153" t="s">
        <v>22</v>
      </c>
      <c r="C12" s="150">
        <v>0.2</v>
      </c>
      <c r="D12" s="154">
        <v>1727</v>
      </c>
      <c r="E12" s="155">
        <v>0</v>
      </c>
      <c r="F12" s="155">
        <v>86</v>
      </c>
      <c r="G12" s="155">
        <v>259</v>
      </c>
      <c r="H12" s="150"/>
      <c r="I12" s="150"/>
      <c r="J12" s="156">
        <v>2072</v>
      </c>
      <c r="K12" s="157">
        <v>2093.12</v>
      </c>
      <c r="L12" s="157">
        <v>2155.3</v>
      </c>
      <c r="M12" s="157">
        <v>2176.02</v>
      </c>
    </row>
    <row r="13" spans="1:13" ht="12.75">
      <c r="A13" s="207" t="s">
        <v>273</v>
      </c>
      <c r="B13" s="153" t="s">
        <v>23</v>
      </c>
      <c r="C13" s="150">
        <v>0.3</v>
      </c>
      <c r="D13" s="154">
        <v>3626</v>
      </c>
      <c r="E13" s="155">
        <v>725</v>
      </c>
      <c r="F13" s="155">
        <v>290</v>
      </c>
      <c r="G13" s="155">
        <v>363</v>
      </c>
      <c r="H13" s="150">
        <v>127</v>
      </c>
      <c r="I13" s="150">
        <v>65</v>
      </c>
      <c r="J13" s="156">
        <v>5197</v>
      </c>
      <c r="K13" s="157">
        <v>5248.62</v>
      </c>
      <c r="L13" s="157">
        <v>5404.52</v>
      </c>
      <c r="M13" s="157">
        <v>5456.49</v>
      </c>
    </row>
    <row r="14" spans="1:13" ht="12.75">
      <c r="A14" s="208"/>
      <c r="B14" s="153" t="s">
        <v>24</v>
      </c>
      <c r="C14" s="150">
        <v>0.2</v>
      </c>
      <c r="D14" s="154">
        <v>2418</v>
      </c>
      <c r="E14" s="155">
        <v>242</v>
      </c>
      <c r="F14" s="155">
        <v>121</v>
      </c>
      <c r="G14" s="155">
        <v>363</v>
      </c>
      <c r="H14" s="150"/>
      <c r="I14" s="150"/>
      <c r="J14" s="156">
        <v>3144</v>
      </c>
      <c r="K14" s="157">
        <v>3175.1</v>
      </c>
      <c r="L14" s="157">
        <v>3269.41</v>
      </c>
      <c r="M14" s="157">
        <v>3300.84</v>
      </c>
    </row>
    <row r="15" spans="1:13" ht="22.5">
      <c r="A15" s="207" t="s">
        <v>274</v>
      </c>
      <c r="B15" s="153" t="s">
        <v>25</v>
      </c>
      <c r="C15" s="150">
        <v>0.3</v>
      </c>
      <c r="D15" s="154">
        <v>2928</v>
      </c>
      <c r="E15" s="155">
        <v>293</v>
      </c>
      <c r="F15" s="155">
        <v>234</v>
      </c>
      <c r="G15" s="155">
        <v>293</v>
      </c>
      <c r="H15" s="150">
        <v>95</v>
      </c>
      <c r="I15" s="150">
        <v>63</v>
      </c>
      <c r="J15" s="156">
        <v>3905</v>
      </c>
      <c r="K15" s="157">
        <v>3944.49</v>
      </c>
      <c r="L15" s="157">
        <v>4061.66</v>
      </c>
      <c r="M15" s="157">
        <v>4100.71</v>
      </c>
    </row>
    <row r="16" spans="1:13" ht="22.5">
      <c r="A16" s="208"/>
      <c r="B16" s="153" t="s">
        <v>26</v>
      </c>
      <c r="C16" s="150">
        <v>0.2</v>
      </c>
      <c r="D16" s="154">
        <v>1077</v>
      </c>
      <c r="E16" s="155">
        <v>0</v>
      </c>
      <c r="F16" s="155">
        <v>54</v>
      </c>
      <c r="G16" s="155">
        <v>162</v>
      </c>
      <c r="H16" s="150"/>
      <c r="I16" s="150"/>
      <c r="J16" s="156">
        <v>1293</v>
      </c>
      <c r="K16" s="157">
        <v>1305.57</v>
      </c>
      <c r="L16" s="157">
        <v>1344.35</v>
      </c>
      <c r="M16" s="157">
        <v>1357.27</v>
      </c>
    </row>
    <row r="17" spans="1:13" ht="12.75">
      <c r="A17" s="207" t="s">
        <v>275</v>
      </c>
      <c r="B17" s="153" t="s">
        <v>27</v>
      </c>
      <c r="C17" s="150">
        <v>0.3</v>
      </c>
      <c r="D17" s="154">
        <v>2386</v>
      </c>
      <c r="E17" s="155">
        <v>239</v>
      </c>
      <c r="F17" s="155">
        <v>191</v>
      </c>
      <c r="G17" s="155">
        <v>239</v>
      </c>
      <c r="H17" s="150">
        <v>89</v>
      </c>
      <c r="I17" s="150">
        <v>120</v>
      </c>
      <c r="J17" s="156">
        <v>3263</v>
      </c>
      <c r="K17" s="157">
        <v>3295.52</v>
      </c>
      <c r="L17" s="157">
        <v>3393.41</v>
      </c>
      <c r="M17" s="157">
        <v>3426.04</v>
      </c>
    </row>
    <row r="18" spans="1:13" ht="12.75">
      <c r="A18" s="208"/>
      <c r="B18" s="153" t="s">
        <v>28</v>
      </c>
      <c r="C18" s="150">
        <v>0.2</v>
      </c>
      <c r="D18" s="154">
        <v>1484</v>
      </c>
      <c r="E18" s="155">
        <v>0</v>
      </c>
      <c r="F18" s="155">
        <v>74</v>
      </c>
      <c r="G18" s="155">
        <v>223</v>
      </c>
      <c r="H18" s="150"/>
      <c r="I18" s="150"/>
      <c r="J18" s="156">
        <v>1781</v>
      </c>
      <c r="K18" s="157">
        <v>1798.61</v>
      </c>
      <c r="L18" s="157">
        <v>1852.03</v>
      </c>
      <c r="M18" s="157">
        <v>1869.84</v>
      </c>
    </row>
    <row r="19" spans="1:13" ht="12.75">
      <c r="A19" s="207" t="s">
        <v>276</v>
      </c>
      <c r="B19" s="153" t="s">
        <v>29</v>
      </c>
      <c r="C19" s="150">
        <v>0.3</v>
      </c>
      <c r="D19" s="154">
        <v>1574</v>
      </c>
      <c r="E19" s="155">
        <v>157</v>
      </c>
      <c r="F19" s="155">
        <v>126</v>
      </c>
      <c r="G19" s="155">
        <v>157</v>
      </c>
      <c r="H19" s="150">
        <v>72</v>
      </c>
      <c r="I19" s="150">
        <v>265</v>
      </c>
      <c r="J19" s="156">
        <v>2351</v>
      </c>
      <c r="K19" s="157">
        <v>2374.34</v>
      </c>
      <c r="L19" s="157">
        <v>2444.86</v>
      </c>
      <c r="M19" s="157">
        <v>2468.37</v>
      </c>
    </row>
    <row r="20" spans="1:13" ht="12.75">
      <c r="A20" s="208"/>
      <c r="B20" s="153" t="s">
        <v>30</v>
      </c>
      <c r="C20" s="150">
        <v>0.2</v>
      </c>
      <c r="D20" s="154">
        <v>1802</v>
      </c>
      <c r="E20" s="155">
        <v>0</v>
      </c>
      <c r="F20" s="155">
        <v>90</v>
      </c>
      <c r="G20" s="155">
        <v>270</v>
      </c>
      <c r="H20" s="150"/>
      <c r="I20" s="150"/>
      <c r="J20" s="156">
        <v>2163</v>
      </c>
      <c r="K20" s="157">
        <v>2184.51</v>
      </c>
      <c r="L20" s="157">
        <v>2249.4</v>
      </c>
      <c r="M20" s="157">
        <v>2271.02</v>
      </c>
    </row>
    <row r="21" spans="1:13" ht="12.75">
      <c r="A21" s="207" t="s">
        <v>277</v>
      </c>
      <c r="B21" s="153" t="s">
        <v>31</v>
      </c>
      <c r="C21" s="150">
        <v>0.3</v>
      </c>
      <c r="D21" s="154">
        <v>8022</v>
      </c>
      <c r="E21" s="154">
        <v>1604</v>
      </c>
      <c r="F21" s="155">
        <v>642</v>
      </c>
      <c r="G21" s="155">
        <v>802</v>
      </c>
      <c r="H21" s="150">
        <v>229</v>
      </c>
      <c r="I21" s="150">
        <v>20</v>
      </c>
      <c r="J21" s="156">
        <v>11320</v>
      </c>
      <c r="K21" s="157">
        <v>11433</v>
      </c>
      <c r="L21" s="157">
        <v>11772.59</v>
      </c>
      <c r="M21" s="157">
        <v>11885.79</v>
      </c>
    </row>
    <row r="22" spans="1:13" ht="12.75">
      <c r="A22" s="208"/>
      <c r="B22" s="153" t="s">
        <v>32</v>
      </c>
      <c r="C22" s="150">
        <v>0.2</v>
      </c>
      <c r="D22" s="154">
        <v>1762</v>
      </c>
      <c r="E22" s="155">
        <v>176</v>
      </c>
      <c r="F22" s="155">
        <v>141</v>
      </c>
      <c r="G22" s="155">
        <v>264</v>
      </c>
      <c r="H22" s="150"/>
      <c r="I22" s="150"/>
      <c r="J22" s="156">
        <v>2343</v>
      </c>
      <c r="K22" s="157">
        <v>2366.89</v>
      </c>
      <c r="L22" s="157">
        <v>2437.2</v>
      </c>
      <c r="M22" s="157">
        <v>2460.63</v>
      </c>
    </row>
    <row r="23" spans="1:13" ht="12.75">
      <c r="A23" s="148"/>
      <c r="B23" s="149" t="s">
        <v>278</v>
      </c>
      <c r="C23" s="150"/>
      <c r="D23" s="155"/>
      <c r="E23" s="155"/>
      <c r="F23" s="155"/>
      <c r="G23" s="155"/>
      <c r="H23" s="150"/>
      <c r="I23" s="150"/>
      <c r="J23" s="157">
        <v>0</v>
      </c>
      <c r="K23" s="157">
        <v>0</v>
      </c>
      <c r="L23" s="157">
        <v>0</v>
      </c>
      <c r="M23" s="157">
        <v>0</v>
      </c>
    </row>
    <row r="24" spans="1:13" ht="12.75">
      <c r="A24" s="159" t="s">
        <v>279</v>
      </c>
      <c r="B24" s="153" t="s">
        <v>34</v>
      </c>
      <c r="C24" s="150">
        <v>0.2</v>
      </c>
      <c r="D24" s="154">
        <v>4378</v>
      </c>
      <c r="E24" s="155">
        <v>657</v>
      </c>
      <c r="F24" s="155">
        <v>219</v>
      </c>
      <c r="G24" s="155">
        <v>657</v>
      </c>
      <c r="H24" s="150">
        <v>100</v>
      </c>
      <c r="I24" s="150" t="s">
        <v>280</v>
      </c>
      <c r="J24" s="156">
        <v>6010</v>
      </c>
      <c r="K24" s="157">
        <v>6069.7</v>
      </c>
      <c r="L24" s="157">
        <v>6249.99</v>
      </c>
      <c r="M24" s="157">
        <v>6310.09</v>
      </c>
    </row>
    <row r="25" spans="1:13" ht="12.75">
      <c r="A25" s="159" t="s">
        <v>281</v>
      </c>
      <c r="B25" s="153" t="s">
        <v>35</v>
      </c>
      <c r="C25" s="150">
        <v>0.2</v>
      </c>
      <c r="D25" s="154">
        <v>2040</v>
      </c>
      <c r="E25" s="155">
        <v>102</v>
      </c>
      <c r="F25" s="155">
        <v>102</v>
      </c>
      <c r="G25" s="155">
        <v>306</v>
      </c>
      <c r="H25" s="150">
        <v>50</v>
      </c>
      <c r="I25" s="150" t="s">
        <v>280</v>
      </c>
      <c r="J25" s="156">
        <v>2599</v>
      </c>
      <c r="K25" s="157">
        <v>2625.14</v>
      </c>
      <c r="L25" s="157">
        <v>2703.12</v>
      </c>
      <c r="M25" s="157">
        <v>2729.11</v>
      </c>
    </row>
    <row r="26" spans="1:13" ht="12.75">
      <c r="A26" s="159" t="s">
        <v>282</v>
      </c>
      <c r="B26" s="153" t="s">
        <v>36</v>
      </c>
      <c r="C26" s="150">
        <v>0.2</v>
      </c>
      <c r="D26" s="155">
        <v>951</v>
      </c>
      <c r="E26" s="155">
        <v>0</v>
      </c>
      <c r="F26" s="155">
        <v>48</v>
      </c>
      <c r="G26" s="155">
        <v>143</v>
      </c>
      <c r="H26" s="150">
        <v>29</v>
      </c>
      <c r="I26" s="150" t="s">
        <v>280</v>
      </c>
      <c r="J26" s="156">
        <v>1171</v>
      </c>
      <c r="K26" s="157">
        <v>1182.61</v>
      </c>
      <c r="L26" s="157">
        <v>1217.74</v>
      </c>
      <c r="M26" s="157">
        <v>1229.45</v>
      </c>
    </row>
    <row r="27" spans="1:13" ht="12.75">
      <c r="A27" s="159" t="s">
        <v>283</v>
      </c>
      <c r="B27" s="153" t="s">
        <v>37</v>
      </c>
      <c r="C27" s="150">
        <v>0.2</v>
      </c>
      <c r="D27" s="154">
        <v>2428</v>
      </c>
      <c r="E27" s="155">
        <v>364</v>
      </c>
      <c r="F27" s="155">
        <v>121</v>
      </c>
      <c r="G27" s="155">
        <v>364</v>
      </c>
      <c r="H27" s="150">
        <v>49</v>
      </c>
      <c r="I27" s="150">
        <v>25</v>
      </c>
      <c r="J27" s="156">
        <v>3351</v>
      </c>
      <c r="K27" s="157">
        <v>3384.54</v>
      </c>
      <c r="L27" s="157">
        <v>3485.07</v>
      </c>
      <c r="M27" s="157">
        <v>3518.58</v>
      </c>
    </row>
    <row r="28" spans="1:13" ht="12.75">
      <c r="A28" s="159" t="s">
        <v>284</v>
      </c>
      <c r="B28" s="153" t="s">
        <v>38</v>
      </c>
      <c r="C28" s="150">
        <v>0.2</v>
      </c>
      <c r="D28" s="154">
        <v>1527</v>
      </c>
      <c r="E28" s="155">
        <v>229</v>
      </c>
      <c r="F28" s="155">
        <v>76</v>
      </c>
      <c r="G28" s="155">
        <v>229</v>
      </c>
      <c r="H28" s="150">
        <v>43</v>
      </c>
      <c r="I28" s="150" t="s">
        <v>280</v>
      </c>
      <c r="J28" s="156">
        <v>2104</v>
      </c>
      <c r="K28" s="157">
        <v>2125.14</v>
      </c>
      <c r="L28" s="157">
        <v>2188.26</v>
      </c>
      <c r="M28" s="157">
        <v>2209.31</v>
      </c>
    </row>
    <row r="29" spans="1:13" ht="12.75">
      <c r="A29" s="159" t="s">
        <v>285</v>
      </c>
      <c r="B29" s="153" t="s">
        <v>39</v>
      </c>
      <c r="C29" s="150">
        <v>0.2</v>
      </c>
      <c r="D29" s="154">
        <v>1893</v>
      </c>
      <c r="E29" s="155">
        <v>284</v>
      </c>
      <c r="F29" s="155">
        <v>95</v>
      </c>
      <c r="G29" s="155">
        <v>284</v>
      </c>
      <c r="H29" s="150">
        <v>61</v>
      </c>
      <c r="I29" s="150" t="s">
        <v>286</v>
      </c>
      <c r="J29" s="156">
        <v>2616</v>
      </c>
      <c r="K29" s="157">
        <v>2642.17</v>
      </c>
      <c r="L29" s="157">
        <v>2720.65</v>
      </c>
      <c r="M29" s="157">
        <v>2746.81</v>
      </c>
    </row>
    <row r="30" spans="1:13" ht="22.5">
      <c r="A30" s="159" t="s">
        <v>287</v>
      </c>
      <c r="B30" s="160" t="s">
        <v>40</v>
      </c>
      <c r="C30" s="150">
        <v>0.2</v>
      </c>
      <c r="D30" s="154">
        <v>3435</v>
      </c>
      <c r="E30" s="155">
        <v>515</v>
      </c>
      <c r="F30" s="155">
        <v>172</v>
      </c>
      <c r="G30" s="155">
        <v>515</v>
      </c>
      <c r="H30" s="150">
        <v>91</v>
      </c>
      <c r="I30" s="150">
        <v>165</v>
      </c>
      <c r="J30" s="156">
        <v>4894</v>
      </c>
      <c r="K30" s="157">
        <v>4942.93</v>
      </c>
      <c r="L30" s="157">
        <v>5089.75</v>
      </c>
      <c r="M30" s="157">
        <v>5138.69</v>
      </c>
    </row>
    <row r="31" spans="1:13" ht="12.75">
      <c r="A31" s="148"/>
      <c r="B31" s="149"/>
      <c r="C31" s="149"/>
      <c r="D31" s="161">
        <v>64432.3</v>
      </c>
      <c r="E31" s="161">
        <v>7261.53</v>
      </c>
      <c r="F31" s="161">
        <v>4323.58</v>
      </c>
      <c r="G31" s="161">
        <v>7916.34</v>
      </c>
      <c r="H31" s="156">
        <v>1447</v>
      </c>
      <c r="I31" s="156">
        <v>1005</v>
      </c>
      <c r="J31" s="156">
        <v>86385</v>
      </c>
      <c r="K31" s="157">
        <v>87249.1</v>
      </c>
      <c r="L31" s="157">
        <v>89840.65</v>
      </c>
      <c r="M31" s="157">
        <v>90704.51</v>
      </c>
    </row>
    <row r="32" ht="12.75">
      <c r="J32" s="23"/>
    </row>
  </sheetData>
  <mergeCells count="8">
    <mergeCell ref="A7:A8"/>
    <mergeCell ref="A9:A10"/>
    <mergeCell ref="A11:A12"/>
    <mergeCell ref="A13:A14"/>
    <mergeCell ref="A15:A16"/>
    <mergeCell ref="A17:A18"/>
    <mergeCell ref="A19:A20"/>
    <mergeCell ref="A21:A2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4"/>
  <sheetViews>
    <sheetView workbookViewId="0" topLeftCell="A1">
      <selection activeCell="A1" sqref="A1"/>
    </sheetView>
  </sheetViews>
  <sheetFormatPr defaultColWidth="9.00390625" defaultRowHeight="12.75"/>
  <cols>
    <col min="2" max="2" width="18.75390625" style="0" customWidth="1"/>
    <col min="3" max="3" width="17.625" style="0" customWidth="1"/>
    <col min="4" max="4" width="17.75390625" style="0" customWidth="1"/>
    <col min="5" max="6" width="20.00390625" style="0" customWidth="1"/>
    <col min="7" max="7" width="16.375" style="0" customWidth="1"/>
    <col min="8" max="8" width="22.25390625" style="0" customWidth="1"/>
    <col min="9" max="9" width="16.00390625" style="0" customWidth="1"/>
    <col min="10" max="10" width="18.625" style="0" customWidth="1"/>
  </cols>
  <sheetData>
    <row r="1" spans="1:12" ht="12.75">
      <c r="A1" s="23"/>
      <c r="B1" s="91"/>
      <c r="C1" s="91"/>
      <c r="D1" s="91"/>
      <c r="E1" s="91"/>
      <c r="F1" s="91"/>
      <c r="G1" s="91"/>
      <c r="H1" s="23"/>
      <c r="I1" s="220"/>
      <c r="J1" s="23"/>
      <c r="K1" s="91"/>
      <c r="L1" s="220"/>
    </row>
    <row r="2" spans="1:12" ht="15">
      <c r="A2" s="92" t="s">
        <v>207</v>
      </c>
      <c r="B2" s="93"/>
      <c r="C2" s="93"/>
      <c r="D2" s="93"/>
      <c r="E2" s="93"/>
      <c r="F2" s="93"/>
      <c r="G2" s="91"/>
      <c r="H2" s="23"/>
      <c r="I2" s="220"/>
      <c r="J2" s="23"/>
      <c r="K2" s="91"/>
      <c r="L2" s="220"/>
    </row>
    <row r="3" spans="1:12" ht="13.5" thickBot="1">
      <c r="A3" s="23"/>
      <c r="B3" s="91"/>
      <c r="C3" s="94"/>
      <c r="D3" s="91"/>
      <c r="E3" s="91"/>
      <c r="F3" s="91"/>
      <c r="G3" s="91"/>
      <c r="H3" s="23"/>
      <c r="I3" s="220"/>
      <c r="J3" s="23"/>
      <c r="K3" s="94"/>
      <c r="L3" s="220"/>
    </row>
    <row r="4" spans="1:12" ht="94.5">
      <c r="A4" s="95" t="s">
        <v>158</v>
      </c>
      <c r="B4" s="96" t="s">
        <v>159</v>
      </c>
      <c r="C4" s="96" t="s">
        <v>208</v>
      </c>
      <c r="D4" s="97" t="s">
        <v>161</v>
      </c>
      <c r="E4" s="98" t="s">
        <v>209</v>
      </c>
      <c r="F4" s="99" t="s">
        <v>210</v>
      </c>
      <c r="G4" s="99" t="s">
        <v>211</v>
      </c>
      <c r="H4" s="99" t="s">
        <v>212</v>
      </c>
      <c r="I4" s="99" t="s">
        <v>213</v>
      </c>
      <c r="J4" s="100" t="s">
        <v>214</v>
      </c>
      <c r="K4" s="101"/>
      <c r="L4" s="23"/>
    </row>
    <row r="5" spans="1:10" ht="15">
      <c r="A5" s="214" t="s">
        <v>13</v>
      </c>
      <c r="B5" s="192"/>
      <c r="C5" s="102"/>
      <c r="D5" s="102"/>
      <c r="E5" s="103"/>
      <c r="F5" s="103"/>
      <c r="G5" s="104"/>
      <c r="H5" s="103"/>
      <c r="I5" s="104"/>
      <c r="J5" s="105"/>
    </row>
    <row r="6" spans="1:10" ht="15">
      <c r="A6" s="106"/>
      <c r="B6" s="107" t="s">
        <v>14</v>
      </c>
      <c r="C6" s="108">
        <v>20716</v>
      </c>
      <c r="D6" s="108">
        <v>25000</v>
      </c>
      <c r="E6" s="109">
        <v>0.3</v>
      </c>
      <c r="F6" s="108">
        <f>E6*C6</f>
        <v>6214.8</v>
      </c>
      <c r="G6" s="108">
        <f>E6*D6</f>
        <v>7500</v>
      </c>
      <c r="H6" s="108">
        <f>F6*0.08</f>
        <v>497.184</v>
      </c>
      <c r="I6" s="108">
        <f>F6*0.2328</f>
        <v>1446.80544</v>
      </c>
      <c r="J6" s="110">
        <f>H6+I6</f>
        <v>1943.98944</v>
      </c>
    </row>
    <row r="7" spans="1:10" ht="15">
      <c r="A7" s="106"/>
      <c r="B7" s="107" t="s">
        <v>15</v>
      </c>
      <c r="C7" s="108">
        <v>8227</v>
      </c>
      <c r="D7" s="108">
        <v>8600</v>
      </c>
      <c r="E7" s="109">
        <v>0.3</v>
      </c>
      <c r="F7" s="108">
        <f>E7*C7</f>
        <v>2468.1</v>
      </c>
      <c r="G7" s="108">
        <f>E7*D7</f>
        <v>2580</v>
      </c>
      <c r="H7" s="108">
        <f>F7*0.08</f>
        <v>197.448</v>
      </c>
      <c r="I7" s="108">
        <f>F7*0.2328</f>
        <v>574.57368</v>
      </c>
      <c r="J7" s="110">
        <f aca="true" t="shared" si="0" ref="J7:J33">H7+I7</f>
        <v>772.02168</v>
      </c>
    </row>
    <row r="8" spans="1:10" ht="15">
      <c r="A8" s="214" t="s">
        <v>16</v>
      </c>
      <c r="B8" s="192"/>
      <c r="C8" s="191"/>
      <c r="D8" s="111"/>
      <c r="E8" s="109"/>
      <c r="F8" s="112"/>
      <c r="G8" s="111"/>
      <c r="H8" s="108"/>
      <c r="I8" s="113"/>
      <c r="J8" s="110">
        <f t="shared" si="0"/>
        <v>0</v>
      </c>
    </row>
    <row r="9" spans="1:10" ht="15.75">
      <c r="A9" s="213"/>
      <c r="B9" s="116" t="s">
        <v>17</v>
      </c>
      <c r="C9" s="108">
        <v>6259</v>
      </c>
      <c r="D9" s="117"/>
      <c r="E9" s="109">
        <v>0.3</v>
      </c>
      <c r="F9" s="108">
        <f aca="true" t="shared" si="1" ref="F9:F24">E9*C9</f>
        <v>1877.6999999999998</v>
      </c>
      <c r="G9" s="108" t="s">
        <v>215</v>
      </c>
      <c r="H9" s="108">
        <f>F9*0.08</f>
        <v>150.21599999999998</v>
      </c>
      <c r="I9" s="108">
        <f>F9*0.2328</f>
        <v>437.12856</v>
      </c>
      <c r="J9" s="110">
        <f t="shared" si="0"/>
        <v>587.34456</v>
      </c>
    </row>
    <row r="10" spans="1:10" ht="15">
      <c r="A10" s="213"/>
      <c r="B10" s="116" t="s">
        <v>18</v>
      </c>
      <c r="C10" s="108">
        <v>5185</v>
      </c>
      <c r="D10" s="108">
        <v>11763</v>
      </c>
      <c r="E10" s="109">
        <v>0.2</v>
      </c>
      <c r="F10" s="108">
        <f t="shared" si="1"/>
        <v>1037</v>
      </c>
      <c r="G10" s="108">
        <f>SUM(F9:F10)</f>
        <v>2914.7</v>
      </c>
      <c r="H10" s="108">
        <f>F10*0.05</f>
        <v>51.85</v>
      </c>
      <c r="I10" s="108">
        <f>F10*0.0989</f>
        <v>102.55930000000001</v>
      </c>
      <c r="J10" s="110">
        <f t="shared" si="0"/>
        <v>154.4093</v>
      </c>
    </row>
    <row r="11" spans="1:10" ht="15">
      <c r="A11" s="213"/>
      <c r="B11" s="116" t="s">
        <v>19</v>
      </c>
      <c r="C11" s="108">
        <v>8064</v>
      </c>
      <c r="D11" s="118"/>
      <c r="E11" s="109">
        <v>0.3</v>
      </c>
      <c r="F11" s="108">
        <f t="shared" si="1"/>
        <v>2419.2</v>
      </c>
      <c r="G11" s="108" t="s">
        <v>215</v>
      </c>
      <c r="H11" s="108">
        <f>F11*0.08</f>
        <v>193.536</v>
      </c>
      <c r="I11" s="108">
        <f>F11*0.2328</f>
        <v>563.18976</v>
      </c>
      <c r="J11" s="110">
        <f t="shared" si="0"/>
        <v>756.72576</v>
      </c>
    </row>
    <row r="12" spans="1:10" ht="15">
      <c r="A12" s="213"/>
      <c r="B12" s="116" t="s">
        <v>20</v>
      </c>
      <c r="C12" s="108">
        <v>6689</v>
      </c>
      <c r="D12" s="108">
        <v>15605</v>
      </c>
      <c r="E12" s="109">
        <v>0.2</v>
      </c>
      <c r="F12" s="108">
        <f t="shared" si="1"/>
        <v>1337.8000000000002</v>
      </c>
      <c r="G12" s="108">
        <f>SUM(F11:F12)</f>
        <v>3757</v>
      </c>
      <c r="H12" s="108">
        <f>F12*0.05</f>
        <v>66.89000000000001</v>
      </c>
      <c r="I12" s="108">
        <f>F12*0.0989</f>
        <v>132.30842</v>
      </c>
      <c r="J12" s="110">
        <f t="shared" si="0"/>
        <v>199.19842000000003</v>
      </c>
    </row>
    <row r="13" spans="1:10" ht="15">
      <c r="A13" s="213"/>
      <c r="B13" s="116" t="s">
        <v>21</v>
      </c>
      <c r="C13" s="108">
        <v>6059</v>
      </c>
      <c r="D13" s="118"/>
      <c r="E13" s="109">
        <v>0.3</v>
      </c>
      <c r="F13" s="108">
        <f t="shared" si="1"/>
        <v>1817.7</v>
      </c>
      <c r="G13" s="108" t="s">
        <v>215</v>
      </c>
      <c r="H13" s="108">
        <f>F13*0.08</f>
        <v>145.416</v>
      </c>
      <c r="I13" s="108">
        <f>F13*0.2328</f>
        <v>423.16056000000003</v>
      </c>
      <c r="J13" s="110">
        <f t="shared" si="0"/>
        <v>568.57656</v>
      </c>
    </row>
    <row r="14" spans="1:10" ht="15">
      <c r="A14" s="213"/>
      <c r="B14" s="116" t="s">
        <v>22</v>
      </c>
      <c r="C14" s="108">
        <v>8126</v>
      </c>
      <c r="D14" s="108">
        <v>15145</v>
      </c>
      <c r="E14" s="109">
        <v>0.2</v>
      </c>
      <c r="F14" s="108">
        <f t="shared" si="1"/>
        <v>1625.2</v>
      </c>
      <c r="G14" s="108">
        <f>SUM(F13:F14)</f>
        <v>3442.9</v>
      </c>
      <c r="H14" s="108">
        <f>F14*0.05</f>
        <v>81.26</v>
      </c>
      <c r="I14" s="108">
        <f>F14*0.0989</f>
        <v>160.73228</v>
      </c>
      <c r="J14" s="110">
        <f t="shared" si="0"/>
        <v>241.99228</v>
      </c>
    </row>
    <row r="15" spans="1:10" ht="15">
      <c r="A15" s="213"/>
      <c r="B15" s="116" t="s">
        <v>23</v>
      </c>
      <c r="C15" s="108">
        <v>11890</v>
      </c>
      <c r="D15" s="118"/>
      <c r="E15" s="109">
        <v>0.3</v>
      </c>
      <c r="F15" s="108">
        <f t="shared" si="1"/>
        <v>3567</v>
      </c>
      <c r="G15" s="108" t="s">
        <v>215</v>
      </c>
      <c r="H15" s="108">
        <f>F15*0.08</f>
        <v>285.36</v>
      </c>
      <c r="I15" s="108">
        <f>F15*0.2328</f>
        <v>830.3976</v>
      </c>
      <c r="J15" s="110">
        <f t="shared" si="0"/>
        <v>1115.7576</v>
      </c>
    </row>
    <row r="16" spans="1:10" ht="15">
      <c r="A16" s="213"/>
      <c r="B16" s="116" t="s">
        <v>24</v>
      </c>
      <c r="C16" s="108">
        <v>11045</v>
      </c>
      <c r="D16" s="108">
        <v>24179</v>
      </c>
      <c r="E16" s="109">
        <v>0.2</v>
      </c>
      <c r="F16" s="108">
        <f t="shared" si="1"/>
        <v>2209</v>
      </c>
      <c r="G16" s="108">
        <f>SUM(F15:F16)</f>
        <v>5776</v>
      </c>
      <c r="H16" s="108">
        <f>F16*0.05</f>
        <v>110.45</v>
      </c>
      <c r="I16" s="108">
        <f>F16*0.0989</f>
        <v>218.4701</v>
      </c>
      <c r="J16" s="110">
        <f t="shared" si="0"/>
        <v>328.9201</v>
      </c>
    </row>
    <row r="17" spans="1:10" ht="30">
      <c r="A17" s="213"/>
      <c r="B17" s="116" t="s">
        <v>25</v>
      </c>
      <c r="C17" s="108">
        <v>9428</v>
      </c>
      <c r="D17" s="118"/>
      <c r="E17" s="109">
        <v>0.3</v>
      </c>
      <c r="F17" s="108">
        <f t="shared" si="1"/>
        <v>2828.4</v>
      </c>
      <c r="G17" s="108" t="s">
        <v>215</v>
      </c>
      <c r="H17" s="108">
        <f>F17*0.08</f>
        <v>226.27200000000002</v>
      </c>
      <c r="I17" s="108">
        <f>F17*0.2328</f>
        <v>658.4515200000001</v>
      </c>
      <c r="J17" s="110">
        <f t="shared" si="0"/>
        <v>884.7235200000001</v>
      </c>
    </row>
    <row r="18" spans="1:10" ht="30">
      <c r="A18" s="213"/>
      <c r="B18" s="116" t="s">
        <v>26</v>
      </c>
      <c r="C18" s="108">
        <v>5339</v>
      </c>
      <c r="D18" s="108">
        <v>15146</v>
      </c>
      <c r="E18" s="109">
        <v>0.2</v>
      </c>
      <c r="F18" s="108">
        <f t="shared" si="1"/>
        <v>1067.8</v>
      </c>
      <c r="G18" s="108">
        <f>SUM(F17:F18)</f>
        <v>3896.2</v>
      </c>
      <c r="H18" s="108">
        <f>F18*0.05</f>
        <v>53.39</v>
      </c>
      <c r="I18" s="108">
        <f>F18*0.0989</f>
        <v>105.60542</v>
      </c>
      <c r="J18" s="110">
        <f t="shared" si="0"/>
        <v>158.99542</v>
      </c>
    </row>
    <row r="19" spans="1:10" ht="15">
      <c r="A19" s="213"/>
      <c r="B19" s="116" t="s">
        <v>27</v>
      </c>
      <c r="C19" s="108">
        <v>7630</v>
      </c>
      <c r="D19" s="118"/>
      <c r="E19" s="109">
        <v>0.3</v>
      </c>
      <c r="F19" s="108">
        <f t="shared" si="1"/>
        <v>2289</v>
      </c>
      <c r="G19" s="108" t="s">
        <v>215</v>
      </c>
      <c r="H19" s="108">
        <f>F19*0.08</f>
        <v>183.12</v>
      </c>
      <c r="I19" s="108">
        <f>F19*0.2328</f>
        <v>532.8792</v>
      </c>
      <c r="J19" s="110">
        <f t="shared" si="0"/>
        <v>715.9992</v>
      </c>
    </row>
    <row r="20" spans="1:10" ht="15">
      <c r="A20" s="213"/>
      <c r="B20" s="116" t="s">
        <v>28</v>
      </c>
      <c r="C20" s="108">
        <v>6648</v>
      </c>
      <c r="D20" s="108">
        <v>15375</v>
      </c>
      <c r="E20" s="109">
        <v>0.2</v>
      </c>
      <c r="F20" s="108">
        <f t="shared" si="1"/>
        <v>1329.6000000000001</v>
      </c>
      <c r="G20" s="108">
        <f>SUM(F19:F20)</f>
        <v>3618.6000000000004</v>
      </c>
      <c r="H20" s="108">
        <f>F20*0.05</f>
        <v>66.48</v>
      </c>
      <c r="I20" s="108">
        <f>F20*0.0989</f>
        <v>131.49744</v>
      </c>
      <c r="J20" s="110">
        <f t="shared" si="0"/>
        <v>197.97744</v>
      </c>
    </row>
    <row r="21" spans="1:10" ht="15">
      <c r="A21" s="213"/>
      <c r="B21" s="116" t="s">
        <v>29</v>
      </c>
      <c r="C21" s="108">
        <v>4727</v>
      </c>
      <c r="D21" s="118"/>
      <c r="E21" s="109">
        <v>0.3</v>
      </c>
      <c r="F21" s="108">
        <f t="shared" si="1"/>
        <v>1418.1</v>
      </c>
      <c r="G21" s="108" t="s">
        <v>215</v>
      </c>
      <c r="H21" s="108">
        <f>F21*0.08</f>
        <v>113.448</v>
      </c>
      <c r="I21" s="108">
        <f>F21*0.2328</f>
        <v>330.13367999999997</v>
      </c>
      <c r="J21" s="110">
        <f t="shared" si="0"/>
        <v>443.58167999999995</v>
      </c>
    </row>
    <row r="22" spans="1:10" ht="15">
      <c r="A22" s="213"/>
      <c r="B22" s="116" t="s">
        <v>30</v>
      </c>
      <c r="C22" s="108">
        <v>8154</v>
      </c>
      <c r="D22" s="108">
        <v>14257</v>
      </c>
      <c r="E22" s="109">
        <v>0.2</v>
      </c>
      <c r="F22" s="108">
        <f t="shared" si="1"/>
        <v>1630.8000000000002</v>
      </c>
      <c r="G22" s="108">
        <f>SUM(F21:F22)</f>
        <v>3048.9</v>
      </c>
      <c r="H22" s="108">
        <f>F22*0.05</f>
        <v>81.54000000000002</v>
      </c>
      <c r="I22" s="108">
        <f>F22*0.0989</f>
        <v>161.28612</v>
      </c>
      <c r="J22" s="110">
        <f t="shared" si="0"/>
        <v>242.82612000000003</v>
      </c>
    </row>
    <row r="23" spans="1:10" ht="15">
      <c r="A23" s="213"/>
      <c r="B23" s="116" t="s">
        <v>31</v>
      </c>
      <c r="C23" s="108">
        <v>26323</v>
      </c>
      <c r="D23" s="118"/>
      <c r="E23" s="109">
        <v>0.3</v>
      </c>
      <c r="F23" s="108">
        <f t="shared" si="1"/>
        <v>7896.9</v>
      </c>
      <c r="G23" s="108" t="s">
        <v>215</v>
      </c>
      <c r="H23" s="108">
        <f>F23*0.08</f>
        <v>631.752</v>
      </c>
      <c r="I23" s="108">
        <f>F23*0.2328</f>
        <v>1838.39832</v>
      </c>
      <c r="J23" s="110">
        <f t="shared" si="0"/>
        <v>2470.1503199999997</v>
      </c>
    </row>
    <row r="24" spans="1:10" ht="15">
      <c r="A24" s="213"/>
      <c r="B24" s="116" t="s">
        <v>32</v>
      </c>
      <c r="C24" s="108">
        <v>8355</v>
      </c>
      <c r="D24" s="108">
        <v>35551</v>
      </c>
      <c r="E24" s="109">
        <v>0.2</v>
      </c>
      <c r="F24" s="108">
        <f t="shared" si="1"/>
        <v>1671</v>
      </c>
      <c r="G24" s="108">
        <f>SUM(F23:F24)</f>
        <v>9567.9</v>
      </c>
      <c r="H24" s="108">
        <f>F24*0.08</f>
        <v>133.68</v>
      </c>
      <c r="I24" s="108">
        <f>F24*0.0989</f>
        <v>165.2619</v>
      </c>
      <c r="J24" s="110">
        <f t="shared" si="0"/>
        <v>298.94190000000003</v>
      </c>
    </row>
    <row r="25" spans="1:10" ht="15">
      <c r="A25" s="214" t="s">
        <v>33</v>
      </c>
      <c r="B25" s="192"/>
      <c r="C25" s="191"/>
      <c r="D25" s="111"/>
      <c r="E25" s="109"/>
      <c r="F25" s="112"/>
      <c r="G25" s="111"/>
      <c r="H25" s="108"/>
      <c r="I25" s="118"/>
      <c r="J25" s="110">
        <f t="shared" si="0"/>
        <v>0</v>
      </c>
    </row>
    <row r="26" spans="1:10" ht="15.75">
      <c r="A26" s="119"/>
      <c r="B26" s="107" t="s">
        <v>34</v>
      </c>
      <c r="C26" s="108">
        <v>19467</v>
      </c>
      <c r="D26" s="108">
        <v>21889</v>
      </c>
      <c r="E26" s="109">
        <v>0.2</v>
      </c>
      <c r="F26" s="108">
        <f aca="true" t="shared" si="2" ref="F26:F32">E26*C26</f>
        <v>3893.4</v>
      </c>
      <c r="G26" s="108">
        <f aca="true" t="shared" si="3" ref="G26:G32">E26*D26</f>
        <v>4377.8</v>
      </c>
      <c r="H26" s="108">
        <f aca="true" t="shared" si="4" ref="H26:H32">F26*0.05</f>
        <v>194.67000000000002</v>
      </c>
      <c r="I26" s="108">
        <f>F26*0.0989</f>
        <v>385.05726000000004</v>
      </c>
      <c r="J26" s="110">
        <f t="shared" si="0"/>
        <v>579.7272600000001</v>
      </c>
    </row>
    <row r="27" spans="1:10" ht="15.75">
      <c r="A27" s="119"/>
      <c r="B27" s="107" t="s">
        <v>35</v>
      </c>
      <c r="C27" s="108">
        <v>9051</v>
      </c>
      <c r="D27" s="108">
        <v>10198</v>
      </c>
      <c r="E27" s="109">
        <v>0.2</v>
      </c>
      <c r="F27" s="108">
        <f t="shared" si="2"/>
        <v>1810.2</v>
      </c>
      <c r="G27" s="108">
        <f t="shared" si="3"/>
        <v>2039.6000000000001</v>
      </c>
      <c r="H27" s="108">
        <f t="shared" si="4"/>
        <v>90.51</v>
      </c>
      <c r="I27" s="108">
        <f aca="true" t="shared" si="5" ref="I27:I32">F27*0.0989</f>
        <v>179.02878</v>
      </c>
      <c r="J27" s="110">
        <f t="shared" si="0"/>
        <v>269.53878000000003</v>
      </c>
    </row>
    <row r="28" spans="1:10" ht="15.75">
      <c r="A28" s="119"/>
      <c r="B28" s="107" t="s">
        <v>36</v>
      </c>
      <c r="C28" s="108">
        <v>4205</v>
      </c>
      <c r="D28" s="108">
        <v>4757</v>
      </c>
      <c r="E28" s="109">
        <v>0.2</v>
      </c>
      <c r="F28" s="108">
        <f t="shared" si="2"/>
        <v>841</v>
      </c>
      <c r="G28" s="108">
        <f t="shared" si="3"/>
        <v>951.4000000000001</v>
      </c>
      <c r="H28" s="108">
        <f t="shared" si="4"/>
        <v>42.050000000000004</v>
      </c>
      <c r="I28" s="108">
        <f t="shared" si="5"/>
        <v>83.17490000000001</v>
      </c>
      <c r="J28" s="110">
        <f t="shared" si="0"/>
        <v>125.22490000000002</v>
      </c>
    </row>
    <row r="29" spans="1:10" ht="15.75">
      <c r="A29" s="119"/>
      <c r="B29" s="107" t="s">
        <v>37</v>
      </c>
      <c r="C29" s="108">
        <v>10502</v>
      </c>
      <c r="D29" s="108">
        <v>12139</v>
      </c>
      <c r="E29" s="109">
        <v>0.2</v>
      </c>
      <c r="F29" s="108">
        <f t="shared" si="2"/>
        <v>2100.4</v>
      </c>
      <c r="G29" s="108">
        <f t="shared" si="3"/>
        <v>2427.8</v>
      </c>
      <c r="H29" s="108">
        <f t="shared" si="4"/>
        <v>105.02000000000001</v>
      </c>
      <c r="I29" s="108">
        <f t="shared" si="5"/>
        <v>207.72956000000002</v>
      </c>
      <c r="J29" s="110">
        <f t="shared" si="0"/>
        <v>312.74956000000003</v>
      </c>
    </row>
    <row r="30" spans="1:10" ht="15.75">
      <c r="A30" s="119"/>
      <c r="B30" s="107" t="s">
        <v>38</v>
      </c>
      <c r="C30" s="108">
        <v>6910</v>
      </c>
      <c r="D30" s="108">
        <v>7635</v>
      </c>
      <c r="E30" s="109">
        <v>0.2</v>
      </c>
      <c r="F30" s="108">
        <f t="shared" si="2"/>
        <v>1382</v>
      </c>
      <c r="G30" s="108">
        <f t="shared" si="3"/>
        <v>1527</v>
      </c>
      <c r="H30" s="108">
        <f t="shared" si="4"/>
        <v>69.10000000000001</v>
      </c>
      <c r="I30" s="108">
        <f t="shared" si="5"/>
        <v>136.6798</v>
      </c>
      <c r="J30" s="110">
        <f t="shared" si="0"/>
        <v>205.77980000000002</v>
      </c>
    </row>
    <row r="31" spans="1:10" ht="15.75">
      <c r="A31" s="119"/>
      <c r="B31" s="107" t="s">
        <v>39</v>
      </c>
      <c r="C31" s="108">
        <v>8183</v>
      </c>
      <c r="D31" s="108">
        <v>9464</v>
      </c>
      <c r="E31" s="109">
        <v>0.2</v>
      </c>
      <c r="F31" s="108">
        <f t="shared" si="2"/>
        <v>1636.6000000000001</v>
      </c>
      <c r="G31" s="108">
        <f t="shared" si="3"/>
        <v>1892.8000000000002</v>
      </c>
      <c r="H31" s="108">
        <f t="shared" si="4"/>
        <v>81.83000000000001</v>
      </c>
      <c r="I31" s="108">
        <f t="shared" si="5"/>
        <v>161.85974000000002</v>
      </c>
      <c r="J31" s="110">
        <f t="shared" si="0"/>
        <v>243.68974000000003</v>
      </c>
    </row>
    <row r="32" spans="1:10" ht="30">
      <c r="A32" s="119"/>
      <c r="B32" s="120" t="s">
        <v>40</v>
      </c>
      <c r="C32" s="108">
        <v>13490</v>
      </c>
      <c r="D32" s="108">
        <v>17177</v>
      </c>
      <c r="E32" s="109">
        <v>0.2</v>
      </c>
      <c r="F32" s="108">
        <f t="shared" si="2"/>
        <v>2698</v>
      </c>
      <c r="G32" s="108">
        <f t="shared" si="3"/>
        <v>3435.4</v>
      </c>
      <c r="H32" s="108">
        <f t="shared" si="4"/>
        <v>134.9</v>
      </c>
      <c r="I32" s="108">
        <f t="shared" si="5"/>
        <v>266.8322</v>
      </c>
      <c r="J32" s="110">
        <f t="shared" si="0"/>
        <v>401.73220000000003</v>
      </c>
    </row>
    <row r="33" spans="1:10" ht="16.5" thickBot="1">
      <c r="A33" s="217" t="s">
        <v>114</v>
      </c>
      <c r="B33" s="218"/>
      <c r="C33" s="219"/>
      <c r="D33" s="121">
        <f>SUM(D6:D32)</f>
        <v>263880</v>
      </c>
      <c r="E33" s="122"/>
      <c r="F33" s="123">
        <f>SUM(F6:F32)</f>
        <v>59066.700000000004</v>
      </c>
      <c r="G33" s="123">
        <f>SUM(G6:G32)</f>
        <v>62754.000000000015</v>
      </c>
      <c r="H33" s="124">
        <f>SUM(H6:H32)</f>
        <v>3987.3720000000003</v>
      </c>
      <c r="I33" s="124">
        <f>SUM(I6:I32)</f>
        <v>10233.20154</v>
      </c>
      <c r="J33" s="125">
        <f t="shared" si="0"/>
        <v>14220.573540000001</v>
      </c>
    </row>
    <row r="34" ht="12.75">
      <c r="E34" s="23"/>
    </row>
    <row r="35" ht="12.75">
      <c r="E35" s="23"/>
    </row>
    <row r="36" spans="1:10" ht="15">
      <c r="A36" s="212" t="s">
        <v>216</v>
      </c>
      <c r="B36" s="212"/>
      <c r="C36" s="212"/>
      <c r="D36" s="212"/>
      <c r="E36" s="212"/>
      <c r="J36" s="23"/>
    </row>
    <row r="37" ht="13.5" thickBot="1">
      <c r="J37" s="23"/>
    </row>
    <row r="38" spans="1:11" ht="110.25">
      <c r="A38" s="95" t="s">
        <v>158</v>
      </c>
      <c r="B38" s="96" t="s">
        <v>159</v>
      </c>
      <c r="C38" s="96" t="s">
        <v>217</v>
      </c>
      <c r="D38" s="96" t="s">
        <v>9</v>
      </c>
      <c r="E38" s="96" t="s">
        <v>6</v>
      </c>
      <c r="F38" s="96" t="s">
        <v>218</v>
      </c>
      <c r="G38" s="96" t="s">
        <v>219</v>
      </c>
      <c r="H38" s="96" t="s">
        <v>220</v>
      </c>
      <c r="I38" s="96" t="s">
        <v>221</v>
      </c>
      <c r="J38" s="96" t="s">
        <v>222</v>
      </c>
      <c r="K38" s="127" t="s">
        <v>223</v>
      </c>
    </row>
    <row r="39" spans="1:11" ht="15">
      <c r="A39" s="214" t="s">
        <v>13</v>
      </c>
      <c r="B39" s="192"/>
      <c r="C39" s="102"/>
      <c r="D39" s="102"/>
      <c r="E39" s="103"/>
      <c r="F39" s="103"/>
      <c r="G39" s="104"/>
      <c r="H39" s="104"/>
      <c r="I39" s="128"/>
      <c r="J39" s="104"/>
      <c r="K39" s="105"/>
    </row>
    <row r="40" spans="1:11" ht="15">
      <c r="A40" s="106"/>
      <c r="B40" s="107" t="s">
        <v>14</v>
      </c>
      <c r="C40" s="129">
        <v>9832.804499999998</v>
      </c>
      <c r="D40" s="108">
        <f>0.088*$C40</f>
        <v>865.2867959999998</v>
      </c>
      <c r="E40" s="108">
        <f>0.064*$C40</f>
        <v>629.2994879999999</v>
      </c>
      <c r="F40" s="108">
        <f>0.0367*$C40</f>
        <v>360.86392515</v>
      </c>
      <c r="G40" s="108">
        <f>0.014*$C40</f>
        <v>137.65926299999998</v>
      </c>
      <c r="H40" s="108">
        <f>0.011*$C40</f>
        <v>108.16084949999997</v>
      </c>
      <c r="I40" s="108">
        <f>0.0472*$C40</f>
        <v>464.1083723999999</v>
      </c>
      <c r="J40" s="108">
        <f>0.0944*$C40</f>
        <v>928.2167447999998</v>
      </c>
      <c r="K40" s="130">
        <f>0.0071*$C40</f>
        <v>69.81291194999999</v>
      </c>
    </row>
    <row r="41" spans="1:11" ht="15">
      <c r="A41" s="106"/>
      <c r="B41" s="107" t="s">
        <v>15</v>
      </c>
      <c r="C41" s="129">
        <v>3713.74475</v>
      </c>
      <c r="D41" s="108">
        <f>0.088*$C41</f>
        <v>326.809538</v>
      </c>
      <c r="E41" s="108">
        <f>0.064*$C41</f>
        <v>237.679664</v>
      </c>
      <c r="F41" s="108">
        <f>0.0367*$C41</f>
        <v>136.294432325</v>
      </c>
      <c r="G41" s="108">
        <f>0.014*$C41</f>
        <v>51.9924265</v>
      </c>
      <c r="H41" s="108">
        <f>0.011*$C41</f>
        <v>40.85119225</v>
      </c>
      <c r="I41" s="108">
        <f>0.0472*$C41</f>
        <v>175.28875219999998</v>
      </c>
      <c r="J41" s="108">
        <f>0.0944*$C41</f>
        <v>350.57750439999995</v>
      </c>
      <c r="K41" s="130">
        <f>0.0071*$C41</f>
        <v>26.367587725</v>
      </c>
    </row>
    <row r="42" spans="1:11" ht="15">
      <c r="A42" s="214" t="s">
        <v>16</v>
      </c>
      <c r="B42" s="191"/>
      <c r="C42" s="129">
        <v>0</v>
      </c>
      <c r="D42" s="111"/>
      <c r="E42" s="109"/>
      <c r="F42" s="112"/>
      <c r="G42" s="111"/>
      <c r="H42" s="111"/>
      <c r="I42" s="131"/>
      <c r="J42" s="113"/>
      <c r="K42" s="110">
        <f>I42+J42</f>
        <v>0</v>
      </c>
    </row>
    <row r="43" spans="1:11" ht="15">
      <c r="A43" s="213"/>
      <c r="B43" s="116" t="s">
        <v>17</v>
      </c>
      <c r="C43" s="129">
        <v>2503.80414</v>
      </c>
      <c r="D43" s="108">
        <f>0.088*$C43</f>
        <v>220.33476432</v>
      </c>
      <c r="E43" s="108">
        <f>0.064*$C43</f>
        <v>160.24346496</v>
      </c>
      <c r="F43" s="108">
        <f>0.0367*$C43</f>
        <v>91.88961193800002</v>
      </c>
      <c r="G43" s="108">
        <f>0.014*$C43</f>
        <v>35.05325796</v>
      </c>
      <c r="H43" s="108">
        <f>0.011*$C43</f>
        <v>27.54184554</v>
      </c>
      <c r="I43" s="108">
        <f>0.0472*$C43</f>
        <v>118.17955540800001</v>
      </c>
      <c r="J43" s="108">
        <f>0.0944*$C43</f>
        <v>236.35911081600003</v>
      </c>
      <c r="K43" s="130">
        <f>0.0071*$C43</f>
        <v>17.777009394000004</v>
      </c>
    </row>
    <row r="44" spans="1:11" ht="15">
      <c r="A44" s="213"/>
      <c r="B44" s="116" t="s">
        <v>18</v>
      </c>
      <c r="C44" s="129">
        <v>1337.3208000000002</v>
      </c>
      <c r="D44" s="108">
        <f>0.0689*$C44</f>
        <v>92.14140312000002</v>
      </c>
      <c r="E44" s="108">
        <f>0.084*$C44</f>
        <v>112.33494720000002</v>
      </c>
      <c r="F44" s="108">
        <f>0.0303*$C44</f>
        <v>40.520820240000006</v>
      </c>
      <c r="G44" s="108">
        <f>0.0074*$C44</f>
        <v>9.896173920000003</v>
      </c>
      <c r="H44" s="108">
        <f>0.0073*$C44</f>
        <v>9.762441840000001</v>
      </c>
      <c r="I44" s="108">
        <f>0.0671*$C44</f>
        <v>89.73422568000002</v>
      </c>
      <c r="J44" s="108">
        <f>0.1788*$C44</f>
        <v>239.11295904000002</v>
      </c>
      <c r="K44" s="130">
        <f>0.009*$C44</f>
        <v>12.035887200000001</v>
      </c>
    </row>
    <row r="45" spans="1:11" ht="15">
      <c r="A45" s="213"/>
      <c r="B45" s="116" t="s">
        <v>19</v>
      </c>
      <c r="C45" s="129">
        <v>3120.42025</v>
      </c>
      <c r="D45" s="108">
        <f>0.088*$C45</f>
        <v>274.59698199999997</v>
      </c>
      <c r="E45" s="108">
        <f>0.064*$C45</f>
        <v>199.706896</v>
      </c>
      <c r="F45" s="108">
        <f>0.0367*$C45</f>
        <v>114.51942317500001</v>
      </c>
      <c r="G45" s="108">
        <f>0.014*$C45</f>
        <v>43.6858835</v>
      </c>
      <c r="H45" s="108">
        <f>0.011*$C45</f>
        <v>34.324622749999996</v>
      </c>
      <c r="I45" s="108">
        <f>0.0472*$C45</f>
        <v>147.2838358</v>
      </c>
      <c r="J45" s="108">
        <f>0.0944*$C45</f>
        <v>294.5676716</v>
      </c>
      <c r="K45" s="130">
        <f>0.0071*$C45</f>
        <v>22.154983775</v>
      </c>
    </row>
    <row r="46" spans="1:11" ht="15">
      <c r="A46" s="213"/>
      <c r="B46" s="116" t="s">
        <v>20</v>
      </c>
      <c r="C46" s="129">
        <v>1740.6744</v>
      </c>
      <c r="D46" s="108">
        <f>0.0689*$C46</f>
        <v>119.93246616000002</v>
      </c>
      <c r="E46" s="108">
        <f>0.084*$C46</f>
        <v>146.2166496</v>
      </c>
      <c r="F46" s="108">
        <f>0.0303*$C46</f>
        <v>52.74243432</v>
      </c>
      <c r="G46" s="108">
        <f>0.0074*$C46</f>
        <v>12.88099056</v>
      </c>
      <c r="H46" s="108">
        <f>0.0073*$C46</f>
        <v>12.70692312</v>
      </c>
      <c r="I46" s="108">
        <f>0.0671*$C46</f>
        <v>116.79925224000002</v>
      </c>
      <c r="J46" s="108">
        <f>0.1788*$C46</f>
        <v>311.23258272</v>
      </c>
      <c r="K46" s="130">
        <f>0.009*$C46</f>
        <v>15.6660696</v>
      </c>
    </row>
    <row r="47" spans="1:11" ht="15">
      <c r="A47" s="213"/>
      <c r="B47" s="116" t="s">
        <v>21</v>
      </c>
      <c r="C47" s="129">
        <v>2808.3201500000005</v>
      </c>
      <c r="D47" s="108">
        <f>0.088*$C47</f>
        <v>247.13217320000004</v>
      </c>
      <c r="E47" s="108">
        <f>0.064*$C47</f>
        <v>179.73248960000004</v>
      </c>
      <c r="F47" s="108">
        <f>0.0367*$C47</f>
        <v>103.06534950500003</v>
      </c>
      <c r="G47" s="108">
        <f>0.014*$C47</f>
        <v>39.31648210000001</v>
      </c>
      <c r="H47" s="108">
        <f>0.011*$C47</f>
        <v>30.891521650000005</v>
      </c>
      <c r="I47" s="108">
        <f>0.0472*$C47</f>
        <v>132.55271108000002</v>
      </c>
      <c r="J47" s="108">
        <f>0.0944*$C47</f>
        <v>265.10542216000005</v>
      </c>
      <c r="K47" s="130">
        <f>0.0071*$C47</f>
        <v>19.939073065000006</v>
      </c>
    </row>
    <row r="48" spans="1:11" ht="15">
      <c r="A48" s="213"/>
      <c r="B48" s="116" t="s">
        <v>22</v>
      </c>
      <c r="C48" s="129">
        <v>2093.1240000000003</v>
      </c>
      <c r="D48" s="108">
        <f>0.0689*$C48</f>
        <v>144.2162436</v>
      </c>
      <c r="E48" s="108">
        <f>0.084*$C48</f>
        <v>175.82241600000003</v>
      </c>
      <c r="F48" s="108">
        <f>0.0303*$C48</f>
        <v>63.421657200000006</v>
      </c>
      <c r="G48" s="108">
        <f>0.0074*$C48</f>
        <v>15.489117600000002</v>
      </c>
      <c r="H48" s="108">
        <f>0.0073*$C48</f>
        <v>15.279805200000002</v>
      </c>
      <c r="I48" s="108">
        <f>0.0671*$C48</f>
        <v>140.44862040000004</v>
      </c>
      <c r="J48" s="108">
        <f>0.1788*$C48</f>
        <v>374.2505712</v>
      </c>
      <c r="K48" s="130">
        <f>0.009*$C48</f>
        <v>18.838116</v>
      </c>
    </row>
    <row r="49" spans="1:11" ht="15">
      <c r="A49" s="213"/>
      <c r="B49" s="116" t="s">
        <v>23</v>
      </c>
      <c r="C49" s="129">
        <v>5248.623570000002</v>
      </c>
      <c r="D49" s="108">
        <f>0.088*$C49</f>
        <v>461.8788741600001</v>
      </c>
      <c r="E49" s="108">
        <f>0.064*$C49</f>
        <v>335.9119084800001</v>
      </c>
      <c r="F49" s="108">
        <f>0.0367*$C49</f>
        <v>192.62448501900008</v>
      </c>
      <c r="G49" s="108">
        <f>0.014*$C49</f>
        <v>73.48072998000002</v>
      </c>
      <c r="H49" s="108">
        <f>0.011*$C49</f>
        <v>57.734859270000015</v>
      </c>
      <c r="I49" s="108">
        <f>0.0472*$C49</f>
        <v>247.73503250400006</v>
      </c>
      <c r="J49" s="108">
        <f>0.0944*$C49</f>
        <v>495.4700650080001</v>
      </c>
      <c r="K49" s="130">
        <f>0.0071*$C49</f>
        <v>37.265227347000014</v>
      </c>
    </row>
    <row r="50" spans="1:11" ht="15">
      <c r="A50" s="213"/>
      <c r="B50" s="116" t="s">
        <v>24</v>
      </c>
      <c r="C50" s="129">
        <v>3175.0966000000003</v>
      </c>
      <c r="D50" s="108">
        <f>0.0689*$C50</f>
        <v>218.76415574000004</v>
      </c>
      <c r="E50" s="108">
        <f>0.084*$C50</f>
        <v>266.70811440000006</v>
      </c>
      <c r="F50" s="108">
        <f>0.0303*$C50</f>
        <v>96.20542698000001</v>
      </c>
      <c r="G50" s="108">
        <f>0.0074*$C50</f>
        <v>23.49571484</v>
      </c>
      <c r="H50" s="108">
        <f>0.0073*$C50</f>
        <v>23.178205180000003</v>
      </c>
      <c r="I50" s="108">
        <f>0.0671*$C50</f>
        <v>213.04898186000005</v>
      </c>
      <c r="J50" s="108">
        <f>0.1788*$C50</f>
        <v>567.70727208</v>
      </c>
      <c r="K50" s="130">
        <f>0.009*$C50</f>
        <v>28.575869400000002</v>
      </c>
    </row>
    <row r="51" spans="1:11" ht="30">
      <c r="A51" s="213"/>
      <c r="B51" s="116" t="s">
        <v>25</v>
      </c>
      <c r="C51" s="129">
        <v>3944.4944</v>
      </c>
      <c r="D51" s="108">
        <f>0.088*$C51</f>
        <v>347.11550719999997</v>
      </c>
      <c r="E51" s="108">
        <f>0.064*$C51</f>
        <v>252.4476416</v>
      </c>
      <c r="F51" s="108">
        <f>0.0367*$C51</f>
        <v>144.76294448000002</v>
      </c>
      <c r="G51" s="108">
        <f>0.014*$C51</f>
        <v>55.2229216</v>
      </c>
      <c r="H51" s="108">
        <f>0.011*$C51</f>
        <v>43.389438399999996</v>
      </c>
      <c r="I51" s="108">
        <f>0.0472*$C51</f>
        <v>186.18013568</v>
      </c>
      <c r="J51" s="108">
        <f>0.0944*$C51</f>
        <v>372.36027136</v>
      </c>
      <c r="K51" s="130">
        <f>0.0071*$C51</f>
        <v>28.005910240000002</v>
      </c>
    </row>
    <row r="52" spans="1:11" ht="30">
      <c r="A52" s="213"/>
      <c r="B52" s="116" t="s">
        <v>26</v>
      </c>
      <c r="C52" s="129">
        <v>1305.5664</v>
      </c>
      <c r="D52" s="108">
        <f>0.0689*$C52</f>
        <v>89.95352496</v>
      </c>
      <c r="E52" s="108">
        <f>0.084*$C52</f>
        <v>109.6675776</v>
      </c>
      <c r="F52" s="108">
        <f>0.0303*$C52</f>
        <v>39.55866192</v>
      </c>
      <c r="G52" s="108">
        <f>0.0074*$C52</f>
        <v>9.66119136</v>
      </c>
      <c r="H52" s="108">
        <f>0.0073*$C52</f>
        <v>9.53063472</v>
      </c>
      <c r="I52" s="108">
        <f>0.0671*$C52</f>
        <v>87.60350544</v>
      </c>
      <c r="J52" s="108">
        <f>0.1788*$C52</f>
        <v>233.43527231999997</v>
      </c>
      <c r="K52" s="130">
        <f>0.009*$C52</f>
        <v>11.750097599999998</v>
      </c>
    </row>
    <row r="53" spans="1:11" ht="15">
      <c r="A53" s="213"/>
      <c r="B53" s="116" t="s">
        <v>27</v>
      </c>
      <c r="C53" s="129">
        <v>3295.5219299999994</v>
      </c>
      <c r="D53" s="108">
        <f>0.088*$C53</f>
        <v>290.0059298399999</v>
      </c>
      <c r="E53" s="108">
        <f>0.064*$C53</f>
        <v>210.91340351999997</v>
      </c>
      <c r="F53" s="108">
        <f>0.0367*$C53</f>
        <v>120.94565483099998</v>
      </c>
      <c r="G53" s="108">
        <f>0.014*$C53</f>
        <v>46.137307019999994</v>
      </c>
      <c r="H53" s="108">
        <f>0.011*$C53</f>
        <v>36.25074122999999</v>
      </c>
      <c r="I53" s="108">
        <f>0.0472*$C53</f>
        <v>155.54863509599997</v>
      </c>
      <c r="J53" s="108">
        <f>0.0944*$C53</f>
        <v>311.09727019199994</v>
      </c>
      <c r="K53" s="130">
        <f>0.0071*$C53</f>
        <v>23.398205703</v>
      </c>
    </row>
    <row r="54" spans="1:11" ht="15">
      <c r="A54" s="213"/>
      <c r="B54" s="116" t="s">
        <v>28</v>
      </c>
      <c r="C54" s="129">
        <v>1798.608</v>
      </c>
      <c r="D54" s="108">
        <f>0.0689*$C54</f>
        <v>123.9240912</v>
      </c>
      <c r="E54" s="108">
        <f>0.084*$C54</f>
        <v>151.08307200000002</v>
      </c>
      <c r="F54" s="108">
        <f>0.0303*$C54</f>
        <v>54.4978224</v>
      </c>
      <c r="G54" s="108">
        <f>0.0074*$C54</f>
        <v>13.3096992</v>
      </c>
      <c r="H54" s="108">
        <f>0.0073*$C54</f>
        <v>13.1298384</v>
      </c>
      <c r="I54" s="108">
        <f>0.0671*$C54</f>
        <v>120.6865968</v>
      </c>
      <c r="J54" s="108">
        <f>0.1788*$C54</f>
        <v>321.5911104</v>
      </c>
      <c r="K54" s="130">
        <f>0.009*$C54</f>
        <v>16.187472</v>
      </c>
    </row>
    <row r="55" spans="1:11" ht="15">
      <c r="A55" s="213"/>
      <c r="B55" s="116" t="s">
        <v>29</v>
      </c>
      <c r="C55" s="129">
        <v>2374.3383</v>
      </c>
      <c r="D55" s="108">
        <f>0.088*$C55</f>
        <v>208.94177039999997</v>
      </c>
      <c r="E55" s="108">
        <f>0.064*$C55</f>
        <v>151.9576512</v>
      </c>
      <c r="F55" s="108">
        <f>0.0367*$C55</f>
        <v>87.13821561</v>
      </c>
      <c r="G55" s="108">
        <f>0.014*$C55</f>
        <v>33.2407362</v>
      </c>
      <c r="H55" s="108">
        <f>0.011*$C55</f>
        <v>26.117721299999996</v>
      </c>
      <c r="I55" s="108">
        <f>0.0472*$C55</f>
        <v>112.06876775999999</v>
      </c>
      <c r="J55" s="108">
        <f>0.0944*$C55</f>
        <v>224.13753551999997</v>
      </c>
      <c r="K55" s="130">
        <f>0.0071*$C55</f>
        <v>16.85780193</v>
      </c>
    </row>
    <row r="56" spans="1:11" ht="15">
      <c r="A56" s="213"/>
      <c r="B56" s="116" t="s">
        <v>30</v>
      </c>
      <c r="C56" s="129">
        <v>2184.5088</v>
      </c>
      <c r="D56" s="108">
        <f>0.0689*$C56</f>
        <v>150.51265632000002</v>
      </c>
      <c r="E56" s="108">
        <f>0.084*$C56</f>
        <v>183.49873920000002</v>
      </c>
      <c r="F56" s="108">
        <f>0.0303*$C56</f>
        <v>66.19061664</v>
      </c>
      <c r="G56" s="108">
        <f>0.0074*$C56</f>
        <v>16.16536512</v>
      </c>
      <c r="H56" s="108">
        <f>0.0073*$C56</f>
        <v>15.94691424</v>
      </c>
      <c r="I56" s="108">
        <f>0.0671*$C56</f>
        <v>146.58054048000002</v>
      </c>
      <c r="J56" s="108">
        <f>0.1788*$C56</f>
        <v>390.59017344</v>
      </c>
      <c r="K56" s="130">
        <f>0.009*$C56</f>
        <v>19.6605792</v>
      </c>
    </row>
    <row r="57" spans="1:11" ht="15">
      <c r="A57" s="213"/>
      <c r="B57" s="116" t="s">
        <v>31</v>
      </c>
      <c r="C57" s="129">
        <v>11432.996989999998</v>
      </c>
      <c r="D57" s="108">
        <f>0.088*$C57</f>
        <v>1006.1037351199998</v>
      </c>
      <c r="E57" s="108">
        <f>0.064*$C57</f>
        <v>731.7118073599999</v>
      </c>
      <c r="F57" s="108">
        <f>0.0367*$C57</f>
        <v>419.59098953299997</v>
      </c>
      <c r="G57" s="108">
        <f>0.014*$C57</f>
        <v>160.06195785999998</v>
      </c>
      <c r="H57" s="108">
        <f>0.011*$C57</f>
        <v>125.76296688999997</v>
      </c>
      <c r="I57" s="108">
        <f>0.0472*$C57</f>
        <v>539.6374579279999</v>
      </c>
      <c r="J57" s="108">
        <f>0.0944*$C57</f>
        <v>1079.2749158559998</v>
      </c>
      <c r="K57" s="130">
        <f>0.0071*$C57</f>
        <v>81.17427862899999</v>
      </c>
    </row>
    <row r="58" spans="1:11" ht="15">
      <c r="A58" s="213"/>
      <c r="B58" s="116" t="s">
        <v>32</v>
      </c>
      <c r="C58" s="129">
        <v>2366.8946</v>
      </c>
      <c r="D58" s="108">
        <f>0.0689*$C58</f>
        <v>163.07903794</v>
      </c>
      <c r="E58" s="108">
        <f>0.084*$C58</f>
        <v>198.81914640000002</v>
      </c>
      <c r="F58" s="108">
        <f>0.0303*$C58</f>
        <v>71.71690638</v>
      </c>
      <c r="G58" s="108">
        <f>0.0074*$C58</f>
        <v>17.515020040000003</v>
      </c>
      <c r="H58" s="108">
        <f>0.0073*$C58</f>
        <v>17.278330580000002</v>
      </c>
      <c r="I58" s="108">
        <f>0.0671*$C58</f>
        <v>158.81862766000003</v>
      </c>
      <c r="J58" s="108">
        <f>0.1788*$C58</f>
        <v>423.20075448</v>
      </c>
      <c r="K58" s="130">
        <f>0.009*$C58</f>
        <v>21.3020514</v>
      </c>
    </row>
    <row r="59" spans="1:11" ht="15">
      <c r="A59" s="214" t="s">
        <v>33</v>
      </c>
      <c r="B59" s="191"/>
      <c r="C59" s="129">
        <v>0</v>
      </c>
      <c r="D59" s="111"/>
      <c r="E59" s="109"/>
      <c r="F59" s="112"/>
      <c r="G59" s="111"/>
      <c r="H59" s="111"/>
      <c r="I59" s="131"/>
      <c r="J59" s="118"/>
      <c r="K59" s="110">
        <f>I59+J59</f>
        <v>0</v>
      </c>
    </row>
    <row r="60" spans="1:11" ht="15.75">
      <c r="A60" s="119"/>
      <c r="B60" s="107" t="s">
        <v>34</v>
      </c>
      <c r="C60" s="129">
        <v>6069.701050000001</v>
      </c>
      <c r="D60" s="108">
        <f>0.0689*$C60</f>
        <v>418.20240234500005</v>
      </c>
      <c r="E60" s="108">
        <f>0.084*$C60</f>
        <v>509.85488820000006</v>
      </c>
      <c r="F60" s="108">
        <f>0.0303*$C60</f>
        <v>183.91194181500003</v>
      </c>
      <c r="G60" s="108">
        <f>0.0074*$C60</f>
        <v>44.91578777000001</v>
      </c>
      <c r="H60" s="108">
        <f>0.0073*$C60</f>
        <v>44.30881766500001</v>
      </c>
      <c r="I60" s="108">
        <f>0.0671*$C60</f>
        <v>407.2769404550001</v>
      </c>
      <c r="J60" s="108">
        <f>0.1788*$C60</f>
        <v>1085.26254774</v>
      </c>
      <c r="K60" s="130">
        <f>0.009*$C60</f>
        <v>54.62730945</v>
      </c>
    </row>
    <row r="61" spans="1:11" ht="15.75">
      <c r="A61" s="119"/>
      <c r="B61" s="107" t="s">
        <v>35</v>
      </c>
      <c r="C61" s="129">
        <v>2625.1415</v>
      </c>
      <c r="D61" s="108">
        <f aca="true" t="shared" si="6" ref="D61:D66">0.0689*$C61</f>
        <v>180.87224935000003</v>
      </c>
      <c r="E61" s="108">
        <f aca="true" t="shared" si="7" ref="E61:E66">0.084*$C61</f>
        <v>220.51188600000003</v>
      </c>
      <c r="F61" s="108">
        <f aca="true" t="shared" si="8" ref="F61:F66">0.0303*$C61</f>
        <v>79.54178745</v>
      </c>
      <c r="G61" s="108">
        <f aca="true" t="shared" si="9" ref="G61:G66">0.0074*$C61</f>
        <v>19.4260471</v>
      </c>
      <c r="H61" s="108">
        <f aca="true" t="shared" si="10" ref="H61:H66">0.0073*$C61</f>
        <v>19.16353295</v>
      </c>
      <c r="I61" s="108">
        <f aca="true" t="shared" si="11" ref="I61:I66">0.0671*$C61</f>
        <v>176.14699465000004</v>
      </c>
      <c r="J61" s="108">
        <f aca="true" t="shared" si="12" ref="J61:J66">0.1788*$C61</f>
        <v>469.37530019999997</v>
      </c>
      <c r="K61" s="130">
        <f aca="true" t="shared" si="13" ref="K61:K66">0.009*$C61</f>
        <v>23.6262735</v>
      </c>
    </row>
    <row r="62" spans="1:11" ht="15.75">
      <c r="A62" s="119"/>
      <c r="B62" s="107" t="s">
        <v>36</v>
      </c>
      <c r="C62" s="129">
        <v>1182.61405</v>
      </c>
      <c r="D62" s="108">
        <f t="shared" si="6"/>
        <v>81.482108045</v>
      </c>
      <c r="E62" s="108">
        <f t="shared" si="7"/>
        <v>99.3395802</v>
      </c>
      <c r="F62" s="108">
        <f t="shared" si="8"/>
        <v>35.833205715</v>
      </c>
      <c r="G62" s="108">
        <f t="shared" si="9"/>
        <v>8.751343969999999</v>
      </c>
      <c r="H62" s="108">
        <f t="shared" si="10"/>
        <v>8.633082564999999</v>
      </c>
      <c r="I62" s="108">
        <f t="shared" si="11"/>
        <v>79.353402755</v>
      </c>
      <c r="J62" s="108">
        <f t="shared" si="12"/>
        <v>211.45139213999997</v>
      </c>
      <c r="K62" s="130">
        <f t="shared" si="13"/>
        <v>10.643526449999998</v>
      </c>
    </row>
    <row r="63" spans="1:11" ht="15.75">
      <c r="A63" s="119"/>
      <c r="B63" s="107" t="s">
        <v>37</v>
      </c>
      <c r="C63" s="129">
        <v>3384.5403</v>
      </c>
      <c r="D63" s="108">
        <f t="shared" si="6"/>
        <v>233.19482667000003</v>
      </c>
      <c r="E63" s="108">
        <f t="shared" si="7"/>
        <v>284.3013852</v>
      </c>
      <c r="F63" s="108">
        <f t="shared" si="8"/>
        <v>102.55157109000001</v>
      </c>
      <c r="G63" s="108">
        <f t="shared" si="9"/>
        <v>25.045598220000002</v>
      </c>
      <c r="H63" s="108">
        <f t="shared" si="10"/>
        <v>24.70714419</v>
      </c>
      <c r="I63" s="108">
        <f t="shared" si="11"/>
        <v>227.10265413000002</v>
      </c>
      <c r="J63" s="108">
        <f t="shared" si="12"/>
        <v>605.1558056399999</v>
      </c>
      <c r="K63" s="130">
        <f t="shared" si="13"/>
        <v>30.4608627</v>
      </c>
    </row>
    <row r="64" spans="1:11" ht="15.75">
      <c r="A64" s="119"/>
      <c r="B64" s="107" t="s">
        <v>38</v>
      </c>
      <c r="C64" s="129">
        <v>2125.141</v>
      </c>
      <c r="D64" s="108">
        <f t="shared" si="6"/>
        <v>146.4222149</v>
      </c>
      <c r="E64" s="108">
        <f t="shared" si="7"/>
        <v>178.51184400000002</v>
      </c>
      <c r="F64" s="108">
        <f t="shared" si="8"/>
        <v>64.3917723</v>
      </c>
      <c r="G64" s="108">
        <f t="shared" si="9"/>
        <v>15.726043400000002</v>
      </c>
      <c r="H64" s="108">
        <f t="shared" si="10"/>
        <v>15.5135293</v>
      </c>
      <c r="I64" s="108">
        <f t="shared" si="11"/>
        <v>142.59696110000002</v>
      </c>
      <c r="J64" s="108">
        <f t="shared" si="12"/>
        <v>379.9752108</v>
      </c>
      <c r="K64" s="130">
        <f t="shared" si="13"/>
        <v>19.126269</v>
      </c>
    </row>
    <row r="65" spans="1:11" ht="15.75">
      <c r="A65" s="119"/>
      <c r="B65" s="107" t="s">
        <v>39</v>
      </c>
      <c r="C65" s="129">
        <v>2642.16505</v>
      </c>
      <c r="D65" s="108">
        <f t="shared" si="6"/>
        <v>182.04517194500002</v>
      </c>
      <c r="E65" s="108">
        <f t="shared" si="7"/>
        <v>221.94186420000003</v>
      </c>
      <c r="F65" s="108">
        <f t="shared" si="8"/>
        <v>80.057601015</v>
      </c>
      <c r="G65" s="108">
        <f t="shared" si="9"/>
        <v>19.552021370000002</v>
      </c>
      <c r="H65" s="108">
        <f t="shared" si="10"/>
        <v>19.287804865000002</v>
      </c>
      <c r="I65" s="108">
        <f t="shared" si="11"/>
        <v>177.28927485500003</v>
      </c>
      <c r="J65" s="108">
        <f t="shared" si="12"/>
        <v>472.41911094</v>
      </c>
      <c r="K65" s="130">
        <f t="shared" si="13"/>
        <v>23.77948545</v>
      </c>
    </row>
    <row r="66" spans="1:11" ht="30">
      <c r="A66" s="119"/>
      <c r="B66" s="120" t="s">
        <v>40</v>
      </c>
      <c r="C66" s="129">
        <v>4942.929900000001</v>
      </c>
      <c r="D66" s="108">
        <f t="shared" si="6"/>
        <v>340.56787011000006</v>
      </c>
      <c r="E66" s="108">
        <f t="shared" si="7"/>
        <v>415.2061116000001</v>
      </c>
      <c r="F66" s="108">
        <f t="shared" si="8"/>
        <v>149.77077597000005</v>
      </c>
      <c r="G66" s="108">
        <f t="shared" si="9"/>
        <v>36.577681260000006</v>
      </c>
      <c r="H66" s="108">
        <f t="shared" si="10"/>
        <v>36.08338827000001</v>
      </c>
      <c r="I66" s="108">
        <f t="shared" si="11"/>
        <v>331.6705962900001</v>
      </c>
      <c r="J66" s="108">
        <f t="shared" si="12"/>
        <v>883.7958661200001</v>
      </c>
      <c r="K66" s="130">
        <f t="shared" si="13"/>
        <v>44.486369100000005</v>
      </c>
    </row>
    <row r="67" spans="1:11" ht="16.5" thickBot="1">
      <c r="A67" s="215" t="s">
        <v>114</v>
      </c>
      <c r="B67" s="216"/>
      <c r="C67" s="132">
        <v>87249.09543</v>
      </c>
      <c r="D67" s="121">
        <f>SUM(D40:D66)</f>
        <v>6933.516492645</v>
      </c>
      <c r="E67" s="133">
        <f>SUM(E39:E66)</f>
        <v>6363.42263652</v>
      </c>
      <c r="F67" s="123">
        <f>SUM(F40:F66)</f>
        <v>2952.608033001</v>
      </c>
      <c r="G67" s="123">
        <f>SUM(G40:G66)</f>
        <v>964.25876145</v>
      </c>
      <c r="H67" s="123">
        <f>SUM(H40:H66)</f>
        <v>815.536151865</v>
      </c>
      <c r="I67" s="134">
        <f>SUM(I40:I66)</f>
        <v>4893.740430651001</v>
      </c>
      <c r="J67" s="124">
        <f>SUM(J40:J66)</f>
        <v>11525.722440972</v>
      </c>
      <c r="K67" s="125">
        <f>I67+J67</f>
        <v>16419.462871623</v>
      </c>
    </row>
    <row r="68" ht="12.75">
      <c r="J68" s="23"/>
    </row>
    <row r="69" spans="1:10" ht="15">
      <c r="A69" s="212" t="s">
        <v>224</v>
      </c>
      <c r="B69" s="212"/>
      <c r="C69" s="212"/>
      <c r="D69" s="212"/>
      <c r="E69" s="212"/>
      <c r="F69" s="212"/>
      <c r="J69" s="23"/>
    </row>
    <row r="70" ht="12.75">
      <c r="J70" s="23"/>
    </row>
    <row r="71" spans="1:11" ht="141.75">
      <c r="A71" s="72" t="s">
        <v>158</v>
      </c>
      <c r="B71" s="135" t="s">
        <v>159</v>
      </c>
      <c r="C71" s="135" t="s">
        <v>225</v>
      </c>
      <c r="D71" s="135" t="s">
        <v>226</v>
      </c>
      <c r="E71" s="135" t="s">
        <v>227</v>
      </c>
      <c r="F71" s="135" t="s">
        <v>228</v>
      </c>
      <c r="G71" s="135" t="s">
        <v>229</v>
      </c>
      <c r="H71" s="135" t="s">
        <v>230</v>
      </c>
      <c r="I71" s="135" t="s">
        <v>231</v>
      </c>
      <c r="J71" s="135" t="s">
        <v>232</v>
      </c>
      <c r="K71" s="135" t="s">
        <v>233</v>
      </c>
    </row>
    <row r="72" spans="1:10" ht="15">
      <c r="A72" s="190" t="s">
        <v>13</v>
      </c>
      <c r="B72" s="192"/>
      <c r="C72" s="102"/>
      <c r="D72" s="102"/>
      <c r="E72" s="103"/>
      <c r="F72" s="103"/>
      <c r="G72" s="104"/>
      <c r="H72" s="104"/>
      <c r="I72" s="128"/>
      <c r="J72" s="104"/>
    </row>
    <row r="73" spans="1:11" ht="15">
      <c r="A73" s="111"/>
      <c r="B73" s="107" t="s">
        <v>14</v>
      </c>
      <c r="C73" s="108">
        <f>J6*0.17</f>
        <v>330.4782048</v>
      </c>
      <c r="D73" s="108">
        <f>D40*0.45</f>
        <v>389.3790581999999</v>
      </c>
      <c r="E73" s="108">
        <f>E40*0.35</f>
        <v>220.25482079999995</v>
      </c>
      <c r="F73" s="108">
        <f>F40*0.22</f>
        <v>79.390063533</v>
      </c>
      <c r="G73" s="108">
        <f>G40*0.35</f>
        <v>48.18074204999999</v>
      </c>
      <c r="H73" s="108">
        <f>H40*0.2</f>
        <v>21.632169899999994</v>
      </c>
      <c r="I73" s="108">
        <f>I40*0.26</f>
        <v>120.66817682399997</v>
      </c>
      <c r="J73" s="108">
        <f>J40*0.2</f>
        <v>185.64334895999997</v>
      </c>
      <c r="K73" s="108">
        <f>K40*0.22</f>
        <v>15.358840628999998</v>
      </c>
    </row>
    <row r="74" spans="1:11" ht="15">
      <c r="A74" s="111"/>
      <c r="B74" s="107" t="s">
        <v>15</v>
      </c>
      <c r="C74" s="108">
        <f aca="true" t="shared" si="14" ref="C74:C99">J7*0.17</f>
        <v>131.2436856</v>
      </c>
      <c r="D74" s="108">
        <f aca="true" t="shared" si="15" ref="D74:D99">D41*0.45</f>
        <v>147.0642921</v>
      </c>
      <c r="E74" s="108">
        <f aca="true" t="shared" si="16" ref="E74:E99">E41*0.35</f>
        <v>83.18788239999999</v>
      </c>
      <c r="F74" s="108">
        <f aca="true" t="shared" si="17" ref="F74:F99">F41*0.22</f>
        <v>29.9847751115</v>
      </c>
      <c r="G74" s="108">
        <f aca="true" t="shared" si="18" ref="G74:G99">G41*0.35</f>
        <v>18.197349275</v>
      </c>
      <c r="H74" s="108">
        <f aca="true" t="shared" si="19" ref="H74:H99">H41*0.2</f>
        <v>8.17023845</v>
      </c>
      <c r="I74" s="108">
        <f aca="true" t="shared" si="20" ref="I74:I99">I41*0.26</f>
        <v>45.575075571999996</v>
      </c>
      <c r="J74" s="108">
        <f aca="true" t="shared" si="21" ref="J74:J99">J41*0.2</f>
        <v>70.11550088</v>
      </c>
      <c r="K74" s="108">
        <f aca="true" t="shared" si="22" ref="K74:K99">K41*0.22</f>
        <v>5.8008692995</v>
      </c>
    </row>
    <row r="75" spans="1:11" ht="15">
      <c r="A75" s="190" t="s">
        <v>16</v>
      </c>
      <c r="B75" s="191"/>
      <c r="C75" s="108">
        <f t="shared" si="14"/>
        <v>0</v>
      </c>
      <c r="D75" s="108">
        <f t="shared" si="15"/>
        <v>0</v>
      </c>
      <c r="E75" s="108">
        <f t="shared" si="16"/>
        <v>0</v>
      </c>
      <c r="F75" s="108">
        <f t="shared" si="17"/>
        <v>0</v>
      </c>
      <c r="G75" s="108">
        <f t="shared" si="18"/>
        <v>0</v>
      </c>
      <c r="H75" s="108">
        <f t="shared" si="19"/>
        <v>0</v>
      </c>
      <c r="I75" s="108">
        <f t="shared" si="20"/>
        <v>0</v>
      </c>
      <c r="J75" s="108">
        <f t="shared" si="21"/>
        <v>0</v>
      </c>
      <c r="K75" s="108">
        <f t="shared" si="22"/>
        <v>0</v>
      </c>
    </row>
    <row r="76" spans="1:11" ht="15">
      <c r="A76" s="209"/>
      <c r="B76" s="116" t="s">
        <v>17</v>
      </c>
      <c r="C76" s="108">
        <f t="shared" si="14"/>
        <v>99.84857520000001</v>
      </c>
      <c r="D76" s="108">
        <f t="shared" si="15"/>
        <v>99.15064394400001</v>
      </c>
      <c r="E76" s="108">
        <f t="shared" si="16"/>
        <v>56.085212736</v>
      </c>
      <c r="F76" s="108">
        <f t="shared" si="17"/>
        <v>20.215714626360004</v>
      </c>
      <c r="G76" s="108">
        <f t="shared" si="18"/>
        <v>12.268640286</v>
      </c>
      <c r="H76" s="108">
        <f t="shared" si="19"/>
        <v>5.508369108</v>
      </c>
      <c r="I76" s="108">
        <f t="shared" si="20"/>
        <v>30.726684406080004</v>
      </c>
      <c r="J76" s="108">
        <f t="shared" si="21"/>
        <v>47.27182216320001</v>
      </c>
      <c r="K76" s="108">
        <f t="shared" si="22"/>
        <v>3.910942066680001</v>
      </c>
    </row>
    <row r="77" spans="1:11" ht="15">
      <c r="A77" s="209"/>
      <c r="B77" s="116" t="s">
        <v>18</v>
      </c>
      <c r="C77" s="108">
        <f t="shared" si="14"/>
        <v>26.249581000000003</v>
      </c>
      <c r="D77" s="108">
        <f t="shared" si="15"/>
        <v>41.46363140400001</v>
      </c>
      <c r="E77" s="108">
        <f t="shared" si="16"/>
        <v>39.31723152</v>
      </c>
      <c r="F77" s="108">
        <f t="shared" si="17"/>
        <v>8.914580452800001</v>
      </c>
      <c r="G77" s="108">
        <f t="shared" si="18"/>
        <v>3.4636608720000006</v>
      </c>
      <c r="H77" s="108">
        <f t="shared" si="19"/>
        <v>1.9524883680000003</v>
      </c>
      <c r="I77" s="108">
        <f t="shared" si="20"/>
        <v>23.330898676800008</v>
      </c>
      <c r="J77" s="108">
        <f t="shared" si="21"/>
        <v>47.822591808000006</v>
      </c>
      <c r="K77" s="108">
        <f t="shared" si="22"/>
        <v>2.6478951840000002</v>
      </c>
    </row>
    <row r="78" spans="1:11" ht="15">
      <c r="A78" s="209"/>
      <c r="B78" s="116" t="s">
        <v>19</v>
      </c>
      <c r="C78" s="108">
        <f t="shared" si="14"/>
        <v>128.64337920000003</v>
      </c>
      <c r="D78" s="108">
        <f t="shared" si="15"/>
        <v>123.56864189999999</v>
      </c>
      <c r="E78" s="108">
        <f t="shared" si="16"/>
        <v>69.8974136</v>
      </c>
      <c r="F78" s="108">
        <f t="shared" si="17"/>
        <v>25.194273098500002</v>
      </c>
      <c r="G78" s="108">
        <f t="shared" si="18"/>
        <v>15.290059225</v>
      </c>
      <c r="H78" s="108">
        <f t="shared" si="19"/>
        <v>6.86492455</v>
      </c>
      <c r="I78" s="108">
        <f t="shared" si="20"/>
        <v>38.293797308</v>
      </c>
      <c r="J78" s="108">
        <f t="shared" si="21"/>
        <v>58.91353432</v>
      </c>
      <c r="K78" s="108">
        <f t="shared" si="22"/>
        <v>4.874096430500001</v>
      </c>
    </row>
    <row r="79" spans="1:11" ht="15">
      <c r="A79" s="209"/>
      <c r="B79" s="116" t="s">
        <v>20</v>
      </c>
      <c r="C79" s="108">
        <f t="shared" si="14"/>
        <v>33.863731400000006</v>
      </c>
      <c r="D79" s="108">
        <f t="shared" si="15"/>
        <v>53.96960977200001</v>
      </c>
      <c r="E79" s="108">
        <f t="shared" si="16"/>
        <v>51.17582736</v>
      </c>
      <c r="F79" s="108">
        <f t="shared" si="17"/>
        <v>11.6033355504</v>
      </c>
      <c r="G79" s="108">
        <f t="shared" si="18"/>
        <v>4.508346696</v>
      </c>
      <c r="H79" s="108">
        <f t="shared" si="19"/>
        <v>2.5413846240000004</v>
      </c>
      <c r="I79" s="108">
        <f t="shared" si="20"/>
        <v>30.367805582400006</v>
      </c>
      <c r="J79" s="108">
        <f t="shared" si="21"/>
        <v>62.246516544</v>
      </c>
      <c r="K79" s="108">
        <f t="shared" si="22"/>
        <v>3.446535312</v>
      </c>
    </row>
    <row r="80" spans="1:11" ht="15">
      <c r="A80" s="209"/>
      <c r="B80" s="116" t="s">
        <v>21</v>
      </c>
      <c r="C80" s="108">
        <f t="shared" si="14"/>
        <v>96.65801520000001</v>
      </c>
      <c r="D80" s="108">
        <f t="shared" si="15"/>
        <v>111.20947794000001</v>
      </c>
      <c r="E80" s="108">
        <f t="shared" si="16"/>
        <v>62.90637136000001</v>
      </c>
      <c r="F80" s="108">
        <f t="shared" si="17"/>
        <v>22.674376891100007</v>
      </c>
      <c r="G80" s="108">
        <f t="shared" si="18"/>
        <v>13.760768735000003</v>
      </c>
      <c r="H80" s="108">
        <f t="shared" si="19"/>
        <v>6.178304330000001</v>
      </c>
      <c r="I80" s="108">
        <f t="shared" si="20"/>
        <v>34.46370488080001</v>
      </c>
      <c r="J80" s="108">
        <f t="shared" si="21"/>
        <v>53.02108443200001</v>
      </c>
      <c r="K80" s="108">
        <f t="shared" si="22"/>
        <v>4.386596074300002</v>
      </c>
    </row>
    <row r="81" spans="1:11" ht="15">
      <c r="A81" s="209"/>
      <c r="B81" s="116" t="s">
        <v>22</v>
      </c>
      <c r="C81" s="108">
        <f t="shared" si="14"/>
        <v>41.138687600000004</v>
      </c>
      <c r="D81" s="108">
        <f t="shared" si="15"/>
        <v>64.89730962</v>
      </c>
      <c r="E81" s="108">
        <f t="shared" si="16"/>
        <v>61.537845600000004</v>
      </c>
      <c r="F81" s="108">
        <f t="shared" si="17"/>
        <v>13.952764584</v>
      </c>
      <c r="G81" s="108">
        <f t="shared" si="18"/>
        <v>5.42119116</v>
      </c>
      <c r="H81" s="108">
        <f t="shared" si="19"/>
        <v>3.0559610400000006</v>
      </c>
      <c r="I81" s="108">
        <f t="shared" si="20"/>
        <v>36.51664130400001</v>
      </c>
      <c r="J81" s="108">
        <f t="shared" si="21"/>
        <v>74.85011424000001</v>
      </c>
      <c r="K81" s="108">
        <f t="shared" si="22"/>
        <v>4.14438552</v>
      </c>
    </row>
    <row r="82" spans="1:11" ht="15">
      <c r="A82" s="209"/>
      <c r="B82" s="116" t="s">
        <v>23</v>
      </c>
      <c r="C82" s="108">
        <f t="shared" si="14"/>
        <v>189.678792</v>
      </c>
      <c r="D82" s="108">
        <f t="shared" si="15"/>
        <v>207.84549337200005</v>
      </c>
      <c r="E82" s="108">
        <f t="shared" si="16"/>
        <v>117.56916796800002</v>
      </c>
      <c r="F82" s="108">
        <f t="shared" si="17"/>
        <v>42.37738670418002</v>
      </c>
      <c r="G82" s="108">
        <f t="shared" si="18"/>
        <v>25.718255493000004</v>
      </c>
      <c r="H82" s="108">
        <f t="shared" si="19"/>
        <v>11.546971854000004</v>
      </c>
      <c r="I82" s="108">
        <f t="shared" si="20"/>
        <v>64.41110845104002</v>
      </c>
      <c r="J82" s="108">
        <f t="shared" si="21"/>
        <v>99.09401300160003</v>
      </c>
      <c r="K82" s="108">
        <f t="shared" si="22"/>
        <v>8.198350016340003</v>
      </c>
    </row>
    <row r="83" spans="1:11" ht="15">
      <c r="A83" s="209"/>
      <c r="B83" s="116" t="s">
        <v>24</v>
      </c>
      <c r="C83" s="108">
        <f t="shared" si="14"/>
        <v>55.916417</v>
      </c>
      <c r="D83" s="108">
        <f t="shared" si="15"/>
        <v>98.44387008300002</v>
      </c>
      <c r="E83" s="108">
        <f t="shared" si="16"/>
        <v>93.34784004000001</v>
      </c>
      <c r="F83" s="108">
        <f t="shared" si="17"/>
        <v>21.1651939356</v>
      </c>
      <c r="G83" s="108">
        <f t="shared" si="18"/>
        <v>8.223500194</v>
      </c>
      <c r="H83" s="108">
        <f t="shared" si="19"/>
        <v>4.635641036000001</v>
      </c>
      <c r="I83" s="108">
        <f t="shared" si="20"/>
        <v>55.39273528360002</v>
      </c>
      <c r="J83" s="108">
        <f t="shared" si="21"/>
        <v>113.54145441600002</v>
      </c>
      <c r="K83" s="108">
        <f t="shared" si="22"/>
        <v>6.286691268</v>
      </c>
    </row>
    <row r="84" spans="1:11" ht="30">
      <c r="A84" s="209"/>
      <c r="B84" s="116" t="s">
        <v>25</v>
      </c>
      <c r="C84" s="108">
        <f t="shared" si="14"/>
        <v>150.40299840000003</v>
      </c>
      <c r="D84" s="108">
        <f t="shared" si="15"/>
        <v>156.20197824</v>
      </c>
      <c r="E84" s="108">
        <f t="shared" si="16"/>
        <v>88.35667455999999</v>
      </c>
      <c r="F84" s="108">
        <f t="shared" si="17"/>
        <v>31.847847785600003</v>
      </c>
      <c r="G84" s="108">
        <f t="shared" si="18"/>
        <v>19.328022559999997</v>
      </c>
      <c r="H84" s="108">
        <f t="shared" si="19"/>
        <v>8.67788768</v>
      </c>
      <c r="I84" s="108">
        <f t="shared" si="20"/>
        <v>48.4068352768</v>
      </c>
      <c r="J84" s="108">
        <f t="shared" si="21"/>
        <v>74.47205427200001</v>
      </c>
      <c r="K84" s="108">
        <f t="shared" si="22"/>
        <v>6.1613002528</v>
      </c>
    </row>
    <row r="85" spans="1:11" ht="30">
      <c r="A85" s="209"/>
      <c r="B85" s="116" t="s">
        <v>26</v>
      </c>
      <c r="C85" s="108">
        <f t="shared" si="14"/>
        <v>27.0292214</v>
      </c>
      <c r="D85" s="108">
        <f t="shared" si="15"/>
        <v>40.479086232</v>
      </c>
      <c r="E85" s="108">
        <f t="shared" si="16"/>
        <v>38.38365216</v>
      </c>
      <c r="F85" s="108">
        <f t="shared" si="17"/>
        <v>8.7029056224</v>
      </c>
      <c r="G85" s="108">
        <f t="shared" si="18"/>
        <v>3.3814169759999997</v>
      </c>
      <c r="H85" s="108">
        <f t="shared" si="19"/>
        <v>1.9061269440000002</v>
      </c>
      <c r="I85" s="108">
        <f t="shared" si="20"/>
        <v>22.7769114144</v>
      </c>
      <c r="J85" s="108">
        <f t="shared" si="21"/>
        <v>46.687054464</v>
      </c>
      <c r="K85" s="108">
        <f t="shared" si="22"/>
        <v>2.5850214719999998</v>
      </c>
    </row>
    <row r="86" spans="1:11" ht="15">
      <c r="A86" s="209"/>
      <c r="B86" s="116" t="s">
        <v>27</v>
      </c>
      <c r="C86" s="108">
        <f t="shared" si="14"/>
        <v>121.719864</v>
      </c>
      <c r="D86" s="108">
        <f t="shared" si="15"/>
        <v>130.50266842799996</v>
      </c>
      <c r="E86" s="108">
        <f t="shared" si="16"/>
        <v>73.81969123199998</v>
      </c>
      <c r="F86" s="108">
        <f t="shared" si="17"/>
        <v>26.608044062819996</v>
      </c>
      <c r="G86" s="108">
        <f t="shared" si="18"/>
        <v>16.148057456999997</v>
      </c>
      <c r="H86" s="108">
        <f t="shared" si="19"/>
        <v>7.250148245999998</v>
      </c>
      <c r="I86" s="108">
        <f t="shared" si="20"/>
        <v>40.442645124959995</v>
      </c>
      <c r="J86" s="108">
        <f t="shared" si="21"/>
        <v>62.21945403839999</v>
      </c>
      <c r="K86" s="108">
        <f t="shared" si="22"/>
        <v>5.147605254659999</v>
      </c>
    </row>
    <row r="87" spans="1:11" ht="15">
      <c r="A87" s="209"/>
      <c r="B87" s="116" t="s">
        <v>28</v>
      </c>
      <c r="C87" s="108">
        <f t="shared" si="14"/>
        <v>33.656164800000006</v>
      </c>
      <c r="D87" s="108">
        <f t="shared" si="15"/>
        <v>55.765841040000005</v>
      </c>
      <c r="E87" s="108">
        <f t="shared" si="16"/>
        <v>52.8790752</v>
      </c>
      <c r="F87" s="108">
        <f t="shared" si="17"/>
        <v>11.989520928</v>
      </c>
      <c r="G87" s="108">
        <f t="shared" si="18"/>
        <v>4.6583947199999995</v>
      </c>
      <c r="H87" s="108">
        <f t="shared" si="19"/>
        <v>2.6259676800000005</v>
      </c>
      <c r="I87" s="108">
        <f t="shared" si="20"/>
        <v>31.378515168000003</v>
      </c>
      <c r="J87" s="108">
        <f t="shared" si="21"/>
        <v>64.31822208</v>
      </c>
      <c r="K87" s="108">
        <f t="shared" si="22"/>
        <v>3.56124384</v>
      </c>
    </row>
    <row r="88" spans="1:11" ht="15">
      <c r="A88" s="209"/>
      <c r="B88" s="116" t="s">
        <v>29</v>
      </c>
      <c r="C88" s="108">
        <f t="shared" si="14"/>
        <v>75.40888559999999</v>
      </c>
      <c r="D88" s="108">
        <f t="shared" si="15"/>
        <v>94.02379667999999</v>
      </c>
      <c r="E88" s="108">
        <f t="shared" si="16"/>
        <v>53.185177919999994</v>
      </c>
      <c r="F88" s="108">
        <f t="shared" si="17"/>
        <v>19.1704074342</v>
      </c>
      <c r="G88" s="108">
        <f t="shared" si="18"/>
        <v>11.63425767</v>
      </c>
      <c r="H88" s="108">
        <f t="shared" si="19"/>
        <v>5.22354426</v>
      </c>
      <c r="I88" s="108">
        <f t="shared" si="20"/>
        <v>29.137879617599996</v>
      </c>
      <c r="J88" s="108">
        <f t="shared" si="21"/>
        <v>44.827507104</v>
      </c>
      <c r="K88" s="108">
        <f t="shared" si="22"/>
        <v>3.7087164246000004</v>
      </c>
    </row>
    <row r="89" spans="1:11" ht="15">
      <c r="A89" s="209"/>
      <c r="B89" s="116" t="s">
        <v>30</v>
      </c>
      <c r="C89" s="108">
        <f t="shared" si="14"/>
        <v>41.28044040000001</v>
      </c>
      <c r="D89" s="108">
        <f t="shared" si="15"/>
        <v>67.73069534400001</v>
      </c>
      <c r="E89" s="108">
        <f t="shared" si="16"/>
        <v>64.22455872</v>
      </c>
      <c r="F89" s="108">
        <f t="shared" si="17"/>
        <v>14.5619356608</v>
      </c>
      <c r="G89" s="108">
        <f t="shared" si="18"/>
        <v>5.657877792</v>
      </c>
      <c r="H89" s="108">
        <f t="shared" si="19"/>
        <v>3.189382848</v>
      </c>
      <c r="I89" s="108">
        <f t="shared" si="20"/>
        <v>38.11094052480001</v>
      </c>
      <c r="J89" s="108">
        <f t="shared" si="21"/>
        <v>78.11803468800001</v>
      </c>
      <c r="K89" s="108">
        <f t="shared" si="22"/>
        <v>4.325327424</v>
      </c>
    </row>
    <row r="90" spans="1:11" ht="15">
      <c r="A90" s="209"/>
      <c r="B90" s="116" t="s">
        <v>31</v>
      </c>
      <c r="C90" s="108">
        <f t="shared" si="14"/>
        <v>419.9255544</v>
      </c>
      <c r="D90" s="108">
        <f t="shared" si="15"/>
        <v>452.74668080399994</v>
      </c>
      <c r="E90" s="108">
        <f t="shared" si="16"/>
        <v>256.09913257599993</v>
      </c>
      <c r="F90" s="108">
        <f t="shared" si="17"/>
        <v>92.31001769726</v>
      </c>
      <c r="G90" s="108">
        <f t="shared" si="18"/>
        <v>56.02168525099999</v>
      </c>
      <c r="H90" s="108">
        <f t="shared" si="19"/>
        <v>25.152593377999995</v>
      </c>
      <c r="I90" s="108">
        <f t="shared" si="20"/>
        <v>140.30573906127998</v>
      </c>
      <c r="J90" s="108">
        <f t="shared" si="21"/>
        <v>215.85498317119996</v>
      </c>
      <c r="K90" s="108">
        <f t="shared" si="22"/>
        <v>17.858341298379997</v>
      </c>
    </row>
    <row r="91" spans="1:11" ht="15">
      <c r="A91" s="209"/>
      <c r="B91" s="116" t="s">
        <v>32</v>
      </c>
      <c r="C91" s="108">
        <f t="shared" si="14"/>
        <v>50.82012300000001</v>
      </c>
      <c r="D91" s="108">
        <f t="shared" si="15"/>
        <v>73.385567073</v>
      </c>
      <c r="E91" s="108">
        <f t="shared" si="16"/>
        <v>69.58670124</v>
      </c>
      <c r="F91" s="108">
        <f t="shared" si="17"/>
        <v>15.777719403599999</v>
      </c>
      <c r="G91" s="108">
        <f t="shared" si="18"/>
        <v>6.130257014000001</v>
      </c>
      <c r="H91" s="108">
        <f t="shared" si="19"/>
        <v>3.4556661160000006</v>
      </c>
      <c r="I91" s="108">
        <f t="shared" si="20"/>
        <v>41.29284319160001</v>
      </c>
      <c r="J91" s="108">
        <f t="shared" si="21"/>
        <v>84.64015089600001</v>
      </c>
      <c r="K91" s="108">
        <f t="shared" si="22"/>
        <v>4.686451308</v>
      </c>
    </row>
    <row r="92" spans="1:11" ht="15">
      <c r="A92" s="190" t="s">
        <v>33</v>
      </c>
      <c r="B92" s="191"/>
      <c r="C92" s="108">
        <f t="shared" si="14"/>
        <v>0</v>
      </c>
      <c r="D92" s="108">
        <f t="shared" si="15"/>
        <v>0</v>
      </c>
      <c r="E92" s="108">
        <f t="shared" si="16"/>
        <v>0</v>
      </c>
      <c r="F92" s="108">
        <f t="shared" si="17"/>
        <v>0</v>
      </c>
      <c r="G92" s="108">
        <f t="shared" si="18"/>
        <v>0</v>
      </c>
      <c r="H92" s="108">
        <f t="shared" si="19"/>
        <v>0</v>
      </c>
      <c r="I92" s="108">
        <f t="shared" si="20"/>
        <v>0</v>
      </c>
      <c r="J92" s="108">
        <f t="shared" si="21"/>
        <v>0</v>
      </c>
      <c r="K92" s="108">
        <f t="shared" si="22"/>
        <v>0</v>
      </c>
    </row>
    <row r="93" spans="1:11" ht="15.75">
      <c r="A93" s="136"/>
      <c r="B93" s="107" t="s">
        <v>34</v>
      </c>
      <c r="C93" s="108">
        <f t="shared" si="14"/>
        <v>98.55363420000003</v>
      </c>
      <c r="D93" s="108">
        <f t="shared" si="15"/>
        <v>188.19108105525004</v>
      </c>
      <c r="E93" s="108">
        <f t="shared" si="16"/>
        <v>178.44921087</v>
      </c>
      <c r="F93" s="108">
        <f t="shared" si="17"/>
        <v>40.460627199300006</v>
      </c>
      <c r="G93" s="108">
        <f t="shared" si="18"/>
        <v>15.720525719500001</v>
      </c>
      <c r="H93" s="108">
        <f t="shared" si="19"/>
        <v>8.861763533000001</v>
      </c>
      <c r="I93" s="108">
        <f t="shared" si="20"/>
        <v>105.89200451830003</v>
      </c>
      <c r="J93" s="108">
        <f t="shared" si="21"/>
        <v>217.052509548</v>
      </c>
      <c r="K93" s="108">
        <f t="shared" si="22"/>
        <v>12.018008079</v>
      </c>
    </row>
    <row r="94" spans="1:11" ht="15.75">
      <c r="A94" s="136"/>
      <c r="B94" s="107" t="s">
        <v>35</v>
      </c>
      <c r="C94" s="108">
        <f t="shared" si="14"/>
        <v>45.82159260000001</v>
      </c>
      <c r="D94" s="108">
        <f t="shared" si="15"/>
        <v>81.39251220750002</v>
      </c>
      <c r="E94" s="108">
        <f t="shared" si="16"/>
        <v>77.1791601</v>
      </c>
      <c r="F94" s="108">
        <f t="shared" si="17"/>
        <v>17.499193239</v>
      </c>
      <c r="G94" s="108">
        <f t="shared" si="18"/>
        <v>6.799116485</v>
      </c>
      <c r="H94" s="108">
        <f t="shared" si="19"/>
        <v>3.8327065900000004</v>
      </c>
      <c r="I94" s="108">
        <f t="shared" si="20"/>
        <v>45.79821860900001</v>
      </c>
      <c r="J94" s="108">
        <f t="shared" si="21"/>
        <v>93.87506004</v>
      </c>
      <c r="K94" s="108">
        <f t="shared" si="22"/>
        <v>5.19778017</v>
      </c>
    </row>
    <row r="95" spans="1:11" ht="15.75">
      <c r="A95" s="136"/>
      <c r="B95" s="107" t="s">
        <v>36</v>
      </c>
      <c r="C95" s="108">
        <f t="shared" si="14"/>
        <v>21.288233000000005</v>
      </c>
      <c r="D95" s="108">
        <f t="shared" si="15"/>
        <v>36.666948620250004</v>
      </c>
      <c r="E95" s="108">
        <f t="shared" si="16"/>
        <v>34.76885307</v>
      </c>
      <c r="F95" s="108">
        <f t="shared" si="17"/>
        <v>7.8833052573</v>
      </c>
      <c r="G95" s="108">
        <f t="shared" si="18"/>
        <v>3.0629703894999993</v>
      </c>
      <c r="H95" s="108">
        <f t="shared" si="19"/>
        <v>1.7266165129999997</v>
      </c>
      <c r="I95" s="108">
        <f t="shared" si="20"/>
        <v>20.631884716300004</v>
      </c>
      <c r="J95" s="108">
        <f t="shared" si="21"/>
        <v>42.29027842799999</v>
      </c>
      <c r="K95" s="108">
        <f t="shared" si="22"/>
        <v>2.3415758189999996</v>
      </c>
    </row>
    <row r="96" spans="1:11" ht="15.75">
      <c r="A96" s="136"/>
      <c r="B96" s="107" t="s">
        <v>37</v>
      </c>
      <c r="C96" s="108">
        <f t="shared" si="14"/>
        <v>53.16742520000001</v>
      </c>
      <c r="D96" s="108">
        <f t="shared" si="15"/>
        <v>104.93767200150002</v>
      </c>
      <c r="E96" s="108">
        <f t="shared" si="16"/>
        <v>99.50548482</v>
      </c>
      <c r="F96" s="108">
        <f t="shared" si="17"/>
        <v>22.561345639800003</v>
      </c>
      <c r="G96" s="108">
        <f t="shared" si="18"/>
        <v>8.765959377</v>
      </c>
      <c r="H96" s="108">
        <f t="shared" si="19"/>
        <v>4.941428838</v>
      </c>
      <c r="I96" s="108">
        <f t="shared" si="20"/>
        <v>59.04669007380001</v>
      </c>
      <c r="J96" s="108">
        <f t="shared" si="21"/>
        <v>121.031161128</v>
      </c>
      <c r="K96" s="108">
        <f t="shared" si="22"/>
        <v>6.701389794</v>
      </c>
    </row>
    <row r="97" spans="1:11" ht="15.75">
      <c r="A97" s="136"/>
      <c r="B97" s="107" t="s">
        <v>38</v>
      </c>
      <c r="C97" s="108">
        <f t="shared" si="14"/>
        <v>34.982566000000006</v>
      </c>
      <c r="D97" s="108">
        <f t="shared" si="15"/>
        <v>65.889996705</v>
      </c>
      <c r="E97" s="108">
        <f t="shared" si="16"/>
        <v>62.47914540000001</v>
      </c>
      <c r="F97" s="108">
        <f t="shared" si="17"/>
        <v>14.166189906</v>
      </c>
      <c r="G97" s="108">
        <f t="shared" si="18"/>
        <v>5.50411519</v>
      </c>
      <c r="H97" s="108">
        <f t="shared" si="19"/>
        <v>3.1027058600000004</v>
      </c>
      <c r="I97" s="108">
        <f t="shared" si="20"/>
        <v>37.075209886</v>
      </c>
      <c r="J97" s="108">
        <f t="shared" si="21"/>
        <v>75.99504216000001</v>
      </c>
      <c r="K97" s="108">
        <f t="shared" si="22"/>
        <v>4.20777918</v>
      </c>
    </row>
    <row r="98" spans="1:11" ht="15.75">
      <c r="A98" s="136"/>
      <c r="B98" s="107" t="s">
        <v>39</v>
      </c>
      <c r="C98" s="108">
        <f t="shared" si="14"/>
        <v>41.427255800000005</v>
      </c>
      <c r="D98" s="108">
        <f t="shared" si="15"/>
        <v>81.92032737525001</v>
      </c>
      <c r="E98" s="108">
        <f t="shared" si="16"/>
        <v>77.67965247000001</v>
      </c>
      <c r="F98" s="108">
        <f t="shared" si="17"/>
        <v>17.612672223300002</v>
      </c>
      <c r="G98" s="108">
        <f t="shared" si="18"/>
        <v>6.8432074795</v>
      </c>
      <c r="H98" s="108">
        <f t="shared" si="19"/>
        <v>3.8575609730000004</v>
      </c>
      <c r="I98" s="108">
        <f t="shared" si="20"/>
        <v>46.09521146230001</v>
      </c>
      <c r="J98" s="108">
        <f t="shared" si="21"/>
        <v>94.483822188</v>
      </c>
      <c r="K98" s="108">
        <f t="shared" si="22"/>
        <v>5.231486799</v>
      </c>
    </row>
    <row r="99" spans="1:11" ht="30">
      <c r="A99" s="136"/>
      <c r="B99" s="120" t="s">
        <v>40</v>
      </c>
      <c r="C99" s="108">
        <f t="shared" si="14"/>
        <v>68.29447400000001</v>
      </c>
      <c r="D99" s="108">
        <f t="shared" si="15"/>
        <v>153.25554154950004</v>
      </c>
      <c r="E99" s="108">
        <f t="shared" si="16"/>
        <v>145.32213906</v>
      </c>
      <c r="F99" s="108">
        <f t="shared" si="17"/>
        <v>32.94957071340001</v>
      </c>
      <c r="G99" s="108">
        <f t="shared" si="18"/>
        <v>12.802188441000002</v>
      </c>
      <c r="H99" s="108">
        <f t="shared" si="19"/>
        <v>7.2166776540000015</v>
      </c>
      <c r="I99" s="108">
        <f t="shared" si="20"/>
        <v>86.23435503540003</v>
      </c>
      <c r="J99" s="108">
        <f t="shared" si="21"/>
        <v>176.75917322400005</v>
      </c>
      <c r="K99" s="108">
        <f t="shared" si="22"/>
        <v>9.787001202</v>
      </c>
    </row>
    <row r="100" spans="1:11" ht="15.75">
      <c r="A100" s="210" t="s">
        <v>114</v>
      </c>
      <c r="B100" s="211"/>
      <c r="C100" s="137">
        <f>SUM(C73:C99)</f>
        <v>2417.4975018</v>
      </c>
      <c r="D100" s="138">
        <f>SUM(D73:D99)</f>
        <v>3120.08242169025</v>
      </c>
      <c r="E100" s="138">
        <f aca="true" t="shared" si="23" ref="E100:K100">SUM(E73:E99)</f>
        <v>2227.1979227819998</v>
      </c>
      <c r="F100" s="138">
        <f t="shared" si="23"/>
        <v>649.5737672602199</v>
      </c>
      <c r="G100" s="138">
        <f t="shared" si="23"/>
        <v>337.4905665075</v>
      </c>
      <c r="H100" s="138">
        <f t="shared" si="23"/>
        <v>163.10723037299994</v>
      </c>
      <c r="I100" s="138">
        <f t="shared" si="23"/>
        <v>1272.3725119692604</v>
      </c>
      <c r="J100" s="138">
        <f t="shared" si="23"/>
        <v>2305.1444881944</v>
      </c>
      <c r="K100" s="138">
        <f t="shared" si="23"/>
        <v>152.57423011775998</v>
      </c>
    </row>
    <row r="101" ht="12.75">
      <c r="J101" s="23"/>
    </row>
    <row r="102" spans="1:10" ht="15">
      <c r="A102" s="212" t="s">
        <v>234</v>
      </c>
      <c r="B102" s="212"/>
      <c r="C102" s="212"/>
      <c r="D102" s="212"/>
      <c r="E102" s="212"/>
      <c r="J102" s="23"/>
    </row>
    <row r="103" ht="12.75">
      <c r="J103" s="23"/>
    </row>
    <row r="104" spans="1:11" ht="110.25">
      <c r="A104" s="72" t="s">
        <v>158</v>
      </c>
      <c r="B104" s="135" t="s">
        <v>159</v>
      </c>
      <c r="C104" s="135" t="s">
        <v>217</v>
      </c>
      <c r="D104" s="135" t="s">
        <v>9</v>
      </c>
      <c r="E104" s="135" t="s">
        <v>6</v>
      </c>
      <c r="F104" s="135" t="s">
        <v>218</v>
      </c>
      <c r="G104" s="135" t="s">
        <v>219</v>
      </c>
      <c r="H104" s="135" t="s">
        <v>220</v>
      </c>
      <c r="I104" s="135" t="s">
        <v>221</v>
      </c>
      <c r="J104" s="135" t="s">
        <v>222</v>
      </c>
      <c r="K104" s="135" t="s">
        <v>223</v>
      </c>
    </row>
    <row r="105" spans="1:10" ht="15">
      <c r="A105" s="190" t="s">
        <v>13</v>
      </c>
      <c r="B105" s="192"/>
      <c r="C105" s="102"/>
      <c r="D105" s="102"/>
      <c r="E105" s="103"/>
      <c r="F105" s="103"/>
      <c r="G105" s="104"/>
      <c r="H105" s="104"/>
      <c r="I105" s="128"/>
      <c r="J105" s="104"/>
    </row>
    <row r="106" spans="1:11" ht="15">
      <c r="A106" s="111"/>
      <c r="B106" s="107" t="s">
        <v>14</v>
      </c>
      <c r="C106" s="139">
        <v>10124.867999999999</v>
      </c>
      <c r="D106" s="108">
        <f>0.088*$C106</f>
        <v>890.9883839999998</v>
      </c>
      <c r="E106" s="108">
        <f>0.064*$C106</f>
        <v>647.991552</v>
      </c>
      <c r="F106" s="108">
        <f>0.0367*$C106</f>
        <v>371.5826556</v>
      </c>
      <c r="G106" s="108">
        <f>0.014*$C106</f>
        <v>141.74815199999998</v>
      </c>
      <c r="H106" s="108">
        <f>0.011*$C106</f>
        <v>111.37354799999997</v>
      </c>
      <c r="I106" s="108">
        <f>0.0472*$C106</f>
        <v>477.8937695999999</v>
      </c>
      <c r="J106" s="108">
        <f>0.0944*$C106</f>
        <v>955.7875391999999</v>
      </c>
      <c r="K106" s="108">
        <f>0.0071*$C106</f>
        <v>71.8865628</v>
      </c>
    </row>
    <row r="107" spans="1:11" ht="15">
      <c r="A107" s="111"/>
      <c r="B107" s="107" t="s">
        <v>15</v>
      </c>
      <c r="C107" s="139">
        <v>3824.054</v>
      </c>
      <c r="D107" s="108">
        <f>0.088*$C107</f>
        <v>336.516752</v>
      </c>
      <c r="E107" s="108">
        <f>0.064*$C107</f>
        <v>244.73945600000002</v>
      </c>
      <c r="F107" s="108">
        <f>0.0367*$C107</f>
        <v>140.3427818</v>
      </c>
      <c r="G107" s="108">
        <f>0.014*$C107</f>
        <v>53.536756000000004</v>
      </c>
      <c r="H107" s="108">
        <f>0.011*$C107</f>
        <v>42.064594</v>
      </c>
      <c r="I107" s="108">
        <f>0.0472*$C107</f>
        <v>180.4953488</v>
      </c>
      <c r="J107" s="108">
        <f>0.0944*$C107</f>
        <v>360.9906976</v>
      </c>
      <c r="K107" s="108">
        <f>0.0071*$C107</f>
        <v>27.1507834</v>
      </c>
    </row>
    <row r="108" spans="1:11" ht="15">
      <c r="A108" s="190" t="s">
        <v>16</v>
      </c>
      <c r="B108" s="191"/>
      <c r="C108" s="139">
        <v>0</v>
      </c>
      <c r="D108" s="111"/>
      <c r="E108" s="109"/>
      <c r="F108" s="112"/>
      <c r="G108" s="111"/>
      <c r="H108" s="111"/>
      <c r="I108" s="131"/>
      <c r="J108" s="113"/>
      <c r="K108" s="140">
        <f>I108+J108</f>
        <v>0</v>
      </c>
    </row>
    <row r="109" spans="1:11" ht="15">
      <c r="A109" s="209"/>
      <c r="B109" s="116" t="s">
        <v>17</v>
      </c>
      <c r="C109" s="139">
        <v>2578.1745600000004</v>
      </c>
      <c r="D109" s="108">
        <f>0.088*$C109</f>
        <v>226.87936128</v>
      </c>
      <c r="E109" s="108">
        <f>0.064*$C109</f>
        <v>165.00317184000002</v>
      </c>
      <c r="F109" s="108">
        <f>0.0367*$C109</f>
        <v>94.61900635200003</v>
      </c>
      <c r="G109" s="108">
        <f>0.014*$C109</f>
        <v>36.094443840000004</v>
      </c>
      <c r="H109" s="108">
        <f>0.011*$C109</f>
        <v>28.35992016</v>
      </c>
      <c r="I109" s="108">
        <f>0.0472*$C109</f>
        <v>121.68983923200001</v>
      </c>
      <c r="J109" s="108">
        <f>0.0944*$C109</f>
        <v>243.37967846400002</v>
      </c>
      <c r="K109" s="108">
        <f>0.0071*$C109</f>
        <v>18.305039376000003</v>
      </c>
    </row>
    <row r="110" spans="1:11" ht="15">
      <c r="A110" s="209"/>
      <c r="B110" s="116" t="s">
        <v>18</v>
      </c>
      <c r="C110" s="139">
        <v>1377.0432000000003</v>
      </c>
      <c r="D110" s="108">
        <f>0.0689*$C110</f>
        <v>94.87827648000003</v>
      </c>
      <c r="E110" s="108">
        <f>0.084*$C110</f>
        <v>115.67162880000004</v>
      </c>
      <c r="F110" s="108">
        <f>0.0303*$C110</f>
        <v>41.72440896000001</v>
      </c>
      <c r="G110" s="108">
        <f>0.0074*$C110</f>
        <v>10.190119680000002</v>
      </c>
      <c r="H110" s="108">
        <f>0.0073*$C110</f>
        <v>10.052415360000003</v>
      </c>
      <c r="I110" s="108">
        <f>0.0671*$C110</f>
        <v>92.39959872000003</v>
      </c>
      <c r="J110" s="108">
        <f>0.1788*$C110</f>
        <v>246.21532416000002</v>
      </c>
      <c r="K110" s="108">
        <f>0.009*$C110</f>
        <v>12.393388800000002</v>
      </c>
    </row>
    <row r="111" spans="1:11" ht="15">
      <c r="A111" s="209"/>
      <c r="B111" s="116" t="s">
        <v>19</v>
      </c>
      <c r="C111" s="139">
        <v>3213.106</v>
      </c>
      <c r="D111" s="108">
        <f>0.088*$C111</f>
        <v>282.753328</v>
      </c>
      <c r="E111" s="108">
        <f>0.064*$C111</f>
        <v>205.63878400000002</v>
      </c>
      <c r="F111" s="108">
        <f>0.0367*$C111</f>
        <v>117.92099020000002</v>
      </c>
      <c r="G111" s="108">
        <f>0.014*$C111</f>
        <v>44.983484000000004</v>
      </c>
      <c r="H111" s="108">
        <f>0.011*$C111</f>
        <v>35.344166</v>
      </c>
      <c r="I111" s="108">
        <f>0.0472*$C111</f>
        <v>151.65860320000002</v>
      </c>
      <c r="J111" s="108">
        <f>0.0944*$C111</f>
        <v>303.31720640000003</v>
      </c>
      <c r="K111" s="108">
        <f>0.0071*$C111</f>
        <v>22.813052600000002</v>
      </c>
    </row>
    <row r="112" spans="1:11" ht="15">
      <c r="A112" s="209"/>
      <c r="B112" s="116" t="s">
        <v>20</v>
      </c>
      <c r="C112" s="139">
        <v>1792.3776</v>
      </c>
      <c r="D112" s="108">
        <f>0.0689*$C112</f>
        <v>123.49481664000001</v>
      </c>
      <c r="E112" s="108">
        <f>0.084*$C112</f>
        <v>150.5597184</v>
      </c>
      <c r="F112" s="108">
        <f>0.0303*$C112</f>
        <v>54.30904128</v>
      </c>
      <c r="G112" s="108">
        <f>0.0074*$C112</f>
        <v>13.263594240000002</v>
      </c>
      <c r="H112" s="108">
        <f>0.0073*$C112</f>
        <v>13.08435648</v>
      </c>
      <c r="I112" s="108">
        <f>0.0671*$C112</f>
        <v>120.26853696000002</v>
      </c>
      <c r="J112" s="108">
        <f>0.1788*$C112</f>
        <v>320.47711488</v>
      </c>
      <c r="K112" s="108">
        <f>0.009*$C112</f>
        <v>16.1313984</v>
      </c>
    </row>
    <row r="113" spans="1:11" ht="15">
      <c r="A113" s="209"/>
      <c r="B113" s="116" t="s">
        <v>21</v>
      </c>
      <c r="C113" s="139">
        <v>2891.7356000000004</v>
      </c>
      <c r="D113" s="108">
        <f>0.088*$C113</f>
        <v>254.47273280000002</v>
      </c>
      <c r="E113" s="108">
        <f>0.064*$C113</f>
        <v>185.07107840000003</v>
      </c>
      <c r="F113" s="108">
        <f>0.0367*$C113</f>
        <v>106.12669652000002</v>
      </c>
      <c r="G113" s="108">
        <f>0.014*$C113</f>
        <v>40.48429840000001</v>
      </c>
      <c r="H113" s="108">
        <f>0.011*$C113</f>
        <v>31.809091600000002</v>
      </c>
      <c r="I113" s="108">
        <f>0.0472*$C113</f>
        <v>136.48992032</v>
      </c>
      <c r="J113" s="108">
        <f>0.0944*$C113</f>
        <v>272.97984064</v>
      </c>
      <c r="K113" s="108">
        <f>0.0071*$C113</f>
        <v>20.531322760000005</v>
      </c>
    </row>
    <row r="114" spans="1:11" ht="15">
      <c r="A114" s="209"/>
      <c r="B114" s="116" t="s">
        <v>22</v>
      </c>
      <c r="C114" s="139">
        <v>2155.2960000000003</v>
      </c>
      <c r="D114" s="108">
        <f>0.0689*$C114</f>
        <v>148.49989440000002</v>
      </c>
      <c r="E114" s="108">
        <f>0.084*$C114</f>
        <v>181.04486400000005</v>
      </c>
      <c r="F114" s="108">
        <f>0.0303*$C114</f>
        <v>65.30546880000001</v>
      </c>
      <c r="G114" s="108">
        <f>0.0074*$C114</f>
        <v>15.949190400000003</v>
      </c>
      <c r="H114" s="108">
        <f>0.0073*$C114</f>
        <v>15.733660800000003</v>
      </c>
      <c r="I114" s="108">
        <f>0.0671*$C114</f>
        <v>144.62036160000002</v>
      </c>
      <c r="J114" s="108">
        <f>0.1788*$C114</f>
        <v>385.3669248</v>
      </c>
      <c r="K114" s="108">
        <f>0.009*$C114</f>
        <v>19.397664000000002</v>
      </c>
    </row>
    <row r="115" spans="1:11" ht="15">
      <c r="A115" s="209"/>
      <c r="B115" s="116" t="s">
        <v>23</v>
      </c>
      <c r="C115" s="139">
        <v>5404.523280000001</v>
      </c>
      <c r="D115" s="108">
        <f>0.088*$C115</f>
        <v>475.59804864000006</v>
      </c>
      <c r="E115" s="108">
        <f>0.064*$C115</f>
        <v>345.8894899200001</v>
      </c>
      <c r="F115" s="108">
        <f>0.0367*$C115</f>
        <v>198.34600437600005</v>
      </c>
      <c r="G115" s="108">
        <f>0.014*$C115</f>
        <v>75.66332592000002</v>
      </c>
      <c r="H115" s="108">
        <f>0.011*$C115</f>
        <v>59.44975608000001</v>
      </c>
      <c r="I115" s="108">
        <f>0.0472*$C115</f>
        <v>255.09349881600005</v>
      </c>
      <c r="J115" s="108">
        <f>0.0944*$C115</f>
        <v>510.1869976320001</v>
      </c>
      <c r="K115" s="108">
        <f>0.0071*$C115</f>
        <v>38.37211528800001</v>
      </c>
    </row>
    <row r="116" spans="1:11" ht="15">
      <c r="A116" s="209"/>
      <c r="B116" s="116" t="s">
        <v>24</v>
      </c>
      <c r="C116" s="139">
        <v>3269.4064000000003</v>
      </c>
      <c r="D116" s="108">
        <f>0.0689*$C116</f>
        <v>225.26210096000003</v>
      </c>
      <c r="E116" s="108">
        <f>0.084*$C116</f>
        <v>274.63013760000007</v>
      </c>
      <c r="F116" s="108">
        <f>0.0303*$C116</f>
        <v>99.06301392000002</v>
      </c>
      <c r="G116" s="108">
        <f>0.0074*$C116</f>
        <v>24.193607360000005</v>
      </c>
      <c r="H116" s="108">
        <f>0.0073*$C116</f>
        <v>23.86666672</v>
      </c>
      <c r="I116" s="108">
        <f>0.0671*$C116</f>
        <v>219.37716944000005</v>
      </c>
      <c r="J116" s="108">
        <f>0.1788*$C116</f>
        <v>584.56986432</v>
      </c>
      <c r="K116" s="108">
        <f>0.009*$C116</f>
        <v>29.4246576</v>
      </c>
    </row>
    <row r="117" spans="1:11" ht="30">
      <c r="A117" s="209"/>
      <c r="B117" s="116" t="s">
        <v>25</v>
      </c>
      <c r="C117" s="139">
        <v>4061.6576</v>
      </c>
      <c r="D117" s="108">
        <f>0.088*$C117</f>
        <v>357.4258688</v>
      </c>
      <c r="E117" s="108">
        <f>0.064*$C117</f>
        <v>259.9460864</v>
      </c>
      <c r="F117" s="108">
        <f>0.0367*$C117</f>
        <v>149.06283392</v>
      </c>
      <c r="G117" s="108">
        <f>0.014*$C117</f>
        <v>56.8632064</v>
      </c>
      <c r="H117" s="108">
        <f>0.011*$C117</f>
        <v>44.6782336</v>
      </c>
      <c r="I117" s="108">
        <f>0.0472*$C117</f>
        <v>191.71023872</v>
      </c>
      <c r="J117" s="108">
        <f>0.0944*$C117</f>
        <v>383.42047744</v>
      </c>
      <c r="K117" s="108">
        <f>0.0071*$C117</f>
        <v>28.837768960000002</v>
      </c>
    </row>
    <row r="118" spans="1:11" ht="30">
      <c r="A118" s="209"/>
      <c r="B118" s="116" t="s">
        <v>26</v>
      </c>
      <c r="C118" s="139">
        <v>1344.3455999999999</v>
      </c>
      <c r="D118" s="108">
        <f>0.0689*$C118</f>
        <v>92.62541184</v>
      </c>
      <c r="E118" s="108">
        <f>0.084*$C118</f>
        <v>112.9250304</v>
      </c>
      <c r="F118" s="108">
        <f>0.0303*$C118</f>
        <v>40.73367168</v>
      </c>
      <c r="G118" s="108">
        <f>0.0074*$C118</f>
        <v>9.94815744</v>
      </c>
      <c r="H118" s="108">
        <f>0.0073*$C118</f>
        <v>9.813722879999998</v>
      </c>
      <c r="I118" s="108">
        <f>0.0671*$C118</f>
        <v>90.20558976</v>
      </c>
      <c r="J118" s="108">
        <f>0.1788*$C118</f>
        <v>240.36899327999996</v>
      </c>
      <c r="K118" s="108">
        <f>0.009*$C118</f>
        <v>12.099110399999997</v>
      </c>
    </row>
    <row r="119" spans="1:11" ht="15">
      <c r="A119" s="209"/>
      <c r="B119" s="116" t="s">
        <v>27</v>
      </c>
      <c r="C119" s="139">
        <v>3393.4087199999994</v>
      </c>
      <c r="D119" s="108">
        <f>0.088*$C119</f>
        <v>298.6199673599999</v>
      </c>
      <c r="E119" s="108">
        <f>0.064*$C119</f>
        <v>217.17815807999997</v>
      </c>
      <c r="F119" s="108">
        <f>0.0367*$C119</f>
        <v>124.53810002399999</v>
      </c>
      <c r="G119" s="108">
        <f>0.014*$C119</f>
        <v>47.50772207999999</v>
      </c>
      <c r="H119" s="108">
        <f>0.011*$C119</f>
        <v>37.32749591999999</v>
      </c>
      <c r="I119" s="108">
        <f>0.0472*$C119</f>
        <v>160.16889158399997</v>
      </c>
      <c r="J119" s="108">
        <f>0.0944*$C119</f>
        <v>320.33778316799993</v>
      </c>
      <c r="K119" s="108">
        <f>0.0071*$C119</f>
        <v>24.093201911999998</v>
      </c>
    </row>
    <row r="120" spans="1:11" ht="15">
      <c r="A120" s="209"/>
      <c r="B120" s="116" t="s">
        <v>28</v>
      </c>
      <c r="C120" s="139">
        <v>1852.032</v>
      </c>
      <c r="D120" s="108">
        <f>0.0689*$C120</f>
        <v>127.6050048</v>
      </c>
      <c r="E120" s="108">
        <f>0.084*$C120</f>
        <v>155.570688</v>
      </c>
      <c r="F120" s="108">
        <f>0.0303*$C120</f>
        <v>56.1165696</v>
      </c>
      <c r="G120" s="108">
        <f>0.0074*$C120</f>
        <v>13.7050368</v>
      </c>
      <c r="H120" s="108">
        <f>0.0073*$C120</f>
        <v>13.5198336</v>
      </c>
      <c r="I120" s="108">
        <f>0.0671*$C120</f>
        <v>124.27134720000001</v>
      </c>
      <c r="J120" s="108">
        <f>0.1788*$C120</f>
        <v>331.1433216</v>
      </c>
      <c r="K120" s="108">
        <f>0.009*$C120</f>
        <v>16.668287999999997</v>
      </c>
    </row>
    <row r="121" spans="1:11" ht="15">
      <c r="A121" s="209"/>
      <c r="B121" s="116" t="s">
        <v>29</v>
      </c>
      <c r="C121" s="139">
        <v>2444.8632000000002</v>
      </c>
      <c r="D121" s="108">
        <f>0.088*$C121</f>
        <v>215.1479616</v>
      </c>
      <c r="E121" s="108">
        <f>0.064*$C121</f>
        <v>156.47124480000002</v>
      </c>
      <c r="F121" s="108">
        <f>0.0367*$C121</f>
        <v>89.72647944000002</v>
      </c>
      <c r="G121" s="108">
        <f>0.014*$C121</f>
        <v>34.228084800000005</v>
      </c>
      <c r="H121" s="108">
        <f>0.011*$C121</f>
        <v>26.8934952</v>
      </c>
      <c r="I121" s="108">
        <f>0.0472*$C121</f>
        <v>115.39754304</v>
      </c>
      <c r="J121" s="108">
        <f>0.0944*$C121</f>
        <v>230.79508608</v>
      </c>
      <c r="K121" s="108">
        <f>0.0071*$C121</f>
        <v>17.358528720000002</v>
      </c>
    </row>
    <row r="122" spans="1:11" ht="15">
      <c r="A122" s="209"/>
      <c r="B122" s="116" t="s">
        <v>30</v>
      </c>
      <c r="C122" s="139">
        <v>2249.3952000000004</v>
      </c>
      <c r="D122" s="108">
        <f>0.0689*$C122</f>
        <v>154.98332928000002</v>
      </c>
      <c r="E122" s="108">
        <f>0.084*$C122</f>
        <v>188.94919680000004</v>
      </c>
      <c r="F122" s="108">
        <f>0.0303*$C122</f>
        <v>68.15667456000001</v>
      </c>
      <c r="G122" s="108">
        <f>0.0074*$C122</f>
        <v>16.645524480000002</v>
      </c>
      <c r="H122" s="108">
        <f>0.0073*$C122</f>
        <v>16.420584960000003</v>
      </c>
      <c r="I122" s="108">
        <f>0.0671*$C122</f>
        <v>150.93441792000004</v>
      </c>
      <c r="J122" s="108">
        <f>0.1788*$C122</f>
        <v>402.19186176000005</v>
      </c>
      <c r="K122" s="108">
        <f>0.009*$C122</f>
        <v>20.2445568</v>
      </c>
    </row>
    <row r="123" spans="1:11" ht="15">
      <c r="A123" s="209"/>
      <c r="B123" s="116" t="s">
        <v>31</v>
      </c>
      <c r="C123" s="139">
        <v>11772.590959999998</v>
      </c>
      <c r="D123" s="108">
        <f>0.088*$C123</f>
        <v>1035.9880044799997</v>
      </c>
      <c r="E123" s="108">
        <f>0.064*$C123</f>
        <v>753.4458214399999</v>
      </c>
      <c r="F123" s="108">
        <f>0.0367*$C123</f>
        <v>432.05408823199997</v>
      </c>
      <c r="G123" s="108">
        <f>0.014*$C123</f>
        <v>164.81627343999997</v>
      </c>
      <c r="H123" s="108">
        <f>0.011*$C123</f>
        <v>129.49850055999997</v>
      </c>
      <c r="I123" s="108">
        <f>0.0472*$C123</f>
        <v>555.6662933119999</v>
      </c>
      <c r="J123" s="108">
        <f>0.0944*$C123</f>
        <v>1111.3325866239998</v>
      </c>
      <c r="K123" s="108">
        <f>0.0071*$C123</f>
        <v>83.58539581599999</v>
      </c>
    </row>
    <row r="124" spans="1:11" ht="15">
      <c r="A124" s="209"/>
      <c r="B124" s="116" t="s">
        <v>32</v>
      </c>
      <c r="C124" s="139">
        <v>2437.1984</v>
      </c>
      <c r="D124" s="108">
        <f>0.0689*$C124</f>
        <v>167.92296976000003</v>
      </c>
      <c r="E124" s="108">
        <f>0.084*$C124</f>
        <v>204.72466560000004</v>
      </c>
      <c r="F124" s="108">
        <f>0.0303*$C124</f>
        <v>73.84711152000001</v>
      </c>
      <c r="G124" s="108">
        <f>0.0074*$C124</f>
        <v>18.03526816</v>
      </c>
      <c r="H124" s="108">
        <f>0.0073*$C124</f>
        <v>17.79154832</v>
      </c>
      <c r="I124" s="108">
        <f>0.0671*$C124</f>
        <v>163.53601264000002</v>
      </c>
      <c r="J124" s="108">
        <f>0.1788*$C124</f>
        <v>435.77107392</v>
      </c>
      <c r="K124" s="108">
        <f>0.009*$C124</f>
        <v>21.9347856</v>
      </c>
    </row>
    <row r="125" spans="1:11" ht="15">
      <c r="A125" s="190" t="s">
        <v>33</v>
      </c>
      <c r="B125" s="191"/>
      <c r="C125" s="139">
        <v>0</v>
      </c>
      <c r="D125" s="111"/>
      <c r="E125" s="109"/>
      <c r="F125" s="112"/>
      <c r="G125" s="111"/>
      <c r="H125" s="111"/>
      <c r="I125" s="131"/>
      <c r="J125" s="118"/>
      <c r="K125" s="140">
        <f>I125+J125</f>
        <v>0</v>
      </c>
    </row>
    <row r="126" spans="1:11" ht="15.75">
      <c r="A126" s="136"/>
      <c r="B126" s="107" t="s">
        <v>34</v>
      </c>
      <c r="C126" s="139">
        <v>6249.989200000001</v>
      </c>
      <c r="D126" s="108">
        <f>0.0689*$C126</f>
        <v>430.6242558800001</v>
      </c>
      <c r="E126" s="108">
        <f>0.084*$C126</f>
        <v>524.9990928000001</v>
      </c>
      <c r="F126" s="108">
        <f>0.0303*$C126</f>
        <v>189.37467276000004</v>
      </c>
      <c r="G126" s="108">
        <f>0.0074*$C126</f>
        <v>46.24992008000001</v>
      </c>
      <c r="H126" s="108">
        <f>0.0073*$C126</f>
        <v>45.62492116000001</v>
      </c>
      <c r="I126" s="108">
        <f>0.0671*$C126</f>
        <v>419.3742753200001</v>
      </c>
      <c r="J126" s="108">
        <f>0.1788*$C126</f>
        <v>1117.4980689600002</v>
      </c>
      <c r="K126" s="108">
        <f>0.009*$C126</f>
        <v>56.2499028</v>
      </c>
    </row>
    <row r="127" spans="1:11" ht="15.75">
      <c r="A127" s="136"/>
      <c r="B127" s="107" t="s">
        <v>35</v>
      </c>
      <c r="C127" s="139">
        <v>2703.116</v>
      </c>
      <c r="D127" s="108">
        <f aca="true" t="shared" si="24" ref="D127:D132">0.0689*$C127</f>
        <v>186.24469240000002</v>
      </c>
      <c r="E127" s="108">
        <f aca="true" t="shared" si="25" ref="E127:E132">0.084*$C127</f>
        <v>227.061744</v>
      </c>
      <c r="F127" s="108">
        <f aca="true" t="shared" si="26" ref="F127:F132">0.0303*$C127</f>
        <v>81.9044148</v>
      </c>
      <c r="G127" s="108">
        <f aca="true" t="shared" si="27" ref="G127:G132">0.0074*$C127</f>
        <v>20.0030584</v>
      </c>
      <c r="H127" s="108">
        <f aca="true" t="shared" si="28" ref="H127:H132">0.0073*$C127</f>
        <v>19.7327468</v>
      </c>
      <c r="I127" s="108">
        <f aca="true" t="shared" si="29" ref="I127:I132">0.0671*$C127</f>
        <v>181.37908360000003</v>
      </c>
      <c r="J127" s="108">
        <f aca="true" t="shared" si="30" ref="J127:J132">0.1788*$C127</f>
        <v>483.31714079999995</v>
      </c>
      <c r="K127" s="108">
        <f aca="true" t="shared" si="31" ref="K127:K132">0.009*$C127</f>
        <v>24.328044</v>
      </c>
    </row>
    <row r="128" spans="1:11" ht="15.75">
      <c r="A128" s="136"/>
      <c r="B128" s="107" t="s">
        <v>36</v>
      </c>
      <c r="C128" s="139">
        <v>1217.7412</v>
      </c>
      <c r="D128" s="108">
        <f t="shared" si="24"/>
        <v>83.90236868</v>
      </c>
      <c r="E128" s="108">
        <f t="shared" si="25"/>
        <v>102.2902608</v>
      </c>
      <c r="F128" s="108">
        <f t="shared" si="26"/>
        <v>36.89755836</v>
      </c>
      <c r="G128" s="108">
        <f t="shared" si="27"/>
        <v>9.01128488</v>
      </c>
      <c r="H128" s="108">
        <f t="shared" si="28"/>
        <v>8.88951076</v>
      </c>
      <c r="I128" s="108">
        <f t="shared" si="29"/>
        <v>81.71043452</v>
      </c>
      <c r="J128" s="108">
        <f t="shared" si="30"/>
        <v>217.73212655999998</v>
      </c>
      <c r="K128" s="108">
        <f t="shared" si="31"/>
        <v>10.959670799999998</v>
      </c>
    </row>
    <row r="129" spans="1:11" ht="15.75">
      <c r="A129" s="136"/>
      <c r="B129" s="107" t="s">
        <v>37</v>
      </c>
      <c r="C129" s="139">
        <v>3485.0712000000003</v>
      </c>
      <c r="D129" s="108">
        <f t="shared" si="24"/>
        <v>240.12140568000004</v>
      </c>
      <c r="E129" s="108">
        <f t="shared" si="25"/>
        <v>292.74598080000004</v>
      </c>
      <c r="F129" s="108">
        <f t="shared" si="26"/>
        <v>105.59765736000001</v>
      </c>
      <c r="G129" s="108">
        <f t="shared" si="27"/>
        <v>25.789526880000004</v>
      </c>
      <c r="H129" s="108">
        <f t="shared" si="28"/>
        <v>25.441019760000003</v>
      </c>
      <c r="I129" s="108">
        <f t="shared" si="29"/>
        <v>233.84827752000004</v>
      </c>
      <c r="J129" s="108">
        <f t="shared" si="30"/>
        <v>623.13073056</v>
      </c>
      <c r="K129" s="108">
        <f t="shared" si="31"/>
        <v>31.3656408</v>
      </c>
    </row>
    <row r="130" spans="1:11" ht="15.75">
      <c r="A130" s="136"/>
      <c r="B130" s="107" t="s">
        <v>38</v>
      </c>
      <c r="C130" s="139">
        <v>2188.264</v>
      </c>
      <c r="D130" s="108">
        <f t="shared" si="24"/>
        <v>150.77138960000002</v>
      </c>
      <c r="E130" s="108">
        <f t="shared" si="25"/>
        <v>183.81417600000003</v>
      </c>
      <c r="F130" s="108">
        <f t="shared" si="26"/>
        <v>66.3043992</v>
      </c>
      <c r="G130" s="108">
        <f t="shared" si="27"/>
        <v>16.193153600000002</v>
      </c>
      <c r="H130" s="108">
        <f t="shared" si="28"/>
        <v>15.974327200000001</v>
      </c>
      <c r="I130" s="108">
        <f t="shared" si="29"/>
        <v>146.83251440000004</v>
      </c>
      <c r="J130" s="108">
        <f t="shared" si="30"/>
        <v>391.26160319999997</v>
      </c>
      <c r="K130" s="108">
        <f t="shared" si="31"/>
        <v>19.694376</v>
      </c>
    </row>
    <row r="131" spans="1:11" ht="15.75">
      <c r="A131" s="136"/>
      <c r="B131" s="107" t="s">
        <v>39</v>
      </c>
      <c r="C131" s="139">
        <v>2720.6452000000004</v>
      </c>
      <c r="D131" s="108">
        <f t="shared" si="24"/>
        <v>187.45245428000004</v>
      </c>
      <c r="E131" s="108">
        <f t="shared" si="25"/>
        <v>228.53419680000005</v>
      </c>
      <c r="F131" s="108">
        <f t="shared" si="26"/>
        <v>82.43554956000001</v>
      </c>
      <c r="G131" s="108">
        <f t="shared" si="27"/>
        <v>20.132774480000005</v>
      </c>
      <c r="H131" s="108">
        <f t="shared" si="28"/>
        <v>19.860709960000005</v>
      </c>
      <c r="I131" s="108">
        <f t="shared" si="29"/>
        <v>182.55529292000006</v>
      </c>
      <c r="J131" s="108">
        <f t="shared" si="30"/>
        <v>486.45136176000005</v>
      </c>
      <c r="K131" s="108">
        <f t="shared" si="31"/>
        <v>24.485806800000002</v>
      </c>
    </row>
    <row r="132" spans="1:11" ht="30">
      <c r="A132" s="136"/>
      <c r="B132" s="120" t="s">
        <v>40</v>
      </c>
      <c r="C132" s="139">
        <v>5089.749600000001</v>
      </c>
      <c r="D132" s="108">
        <f t="shared" si="24"/>
        <v>350.6837474400001</v>
      </c>
      <c r="E132" s="108">
        <f t="shared" si="25"/>
        <v>427.5389664000001</v>
      </c>
      <c r="F132" s="108">
        <f t="shared" si="26"/>
        <v>154.21941288000002</v>
      </c>
      <c r="G132" s="108">
        <f t="shared" si="27"/>
        <v>37.66414704000001</v>
      </c>
      <c r="H132" s="108">
        <f t="shared" si="28"/>
        <v>37.15517208000001</v>
      </c>
      <c r="I132" s="108">
        <f t="shared" si="29"/>
        <v>341.52219816000013</v>
      </c>
      <c r="J132" s="108">
        <f t="shared" si="30"/>
        <v>910.0472284800001</v>
      </c>
      <c r="K132" s="108">
        <f t="shared" si="31"/>
        <v>45.807746400000006</v>
      </c>
    </row>
    <row r="133" spans="1:11" ht="15.75">
      <c r="A133" s="210" t="s">
        <v>114</v>
      </c>
      <c r="B133" s="211"/>
      <c r="C133" s="141">
        <v>89840.65271999998</v>
      </c>
      <c r="D133" s="142">
        <f>SUM(D106:D132)</f>
        <v>7139.46252708</v>
      </c>
      <c r="E133" s="141">
        <f>SUM(E105:E132)</f>
        <v>6552.43519008</v>
      </c>
      <c r="F133" s="141">
        <f>SUM(F106:F132)</f>
        <v>3040.3092617039997</v>
      </c>
      <c r="G133" s="141">
        <f>SUM(G106:G132)</f>
        <v>992.9001108</v>
      </c>
      <c r="H133" s="141">
        <f>SUM(H106:H132)</f>
        <v>839.75999796</v>
      </c>
      <c r="I133" s="143">
        <f>SUM(I106:I132)</f>
        <v>5039.099057304</v>
      </c>
      <c r="J133" s="141">
        <f>SUM(J106:J132)</f>
        <v>11868.070632288001</v>
      </c>
      <c r="K133" s="141">
        <f>I133+J133</f>
        <v>16907.169689592003</v>
      </c>
    </row>
    <row r="134" ht="12.75">
      <c r="J134" s="23"/>
    </row>
    <row r="135" spans="1:10" ht="15">
      <c r="A135" s="212" t="s">
        <v>235</v>
      </c>
      <c r="B135" s="212"/>
      <c r="C135" s="212"/>
      <c r="D135" s="212"/>
      <c r="E135" s="212"/>
      <c r="J135" s="23"/>
    </row>
    <row r="136" ht="12.75">
      <c r="J136" s="23"/>
    </row>
    <row r="137" spans="1:11" ht="141.75">
      <c r="A137" s="72" t="s">
        <v>158</v>
      </c>
      <c r="B137" s="135" t="s">
        <v>159</v>
      </c>
      <c r="C137" s="135" t="s">
        <v>236</v>
      </c>
      <c r="D137" s="135" t="s">
        <v>237</v>
      </c>
      <c r="E137" s="135" t="s">
        <v>238</v>
      </c>
      <c r="F137" s="135" t="s">
        <v>239</v>
      </c>
      <c r="G137" s="135" t="s">
        <v>240</v>
      </c>
      <c r="H137" s="135" t="s">
        <v>241</v>
      </c>
      <c r="I137" s="135" t="s">
        <v>242</v>
      </c>
      <c r="J137" s="135" t="s">
        <v>243</v>
      </c>
      <c r="K137" s="135" t="s">
        <v>244</v>
      </c>
    </row>
    <row r="138" spans="1:10" ht="15">
      <c r="A138" s="190" t="s">
        <v>13</v>
      </c>
      <c r="B138" s="192"/>
      <c r="C138" s="102"/>
      <c r="D138" s="102"/>
      <c r="E138" s="103"/>
      <c r="F138" s="103"/>
      <c r="G138" s="104"/>
      <c r="H138" s="104"/>
      <c r="I138" s="128"/>
      <c r="J138" s="104"/>
    </row>
    <row r="139" spans="1:11" ht="15">
      <c r="A139" s="111"/>
      <c r="B139" s="107" t="s">
        <v>14</v>
      </c>
      <c r="C139" s="108">
        <f aca="true" t="shared" si="32" ref="C139:C165">J6*0.25</f>
        <v>485.99736</v>
      </c>
      <c r="D139" s="108">
        <f>D106*0.5</f>
        <v>445.4941919999999</v>
      </c>
      <c r="E139" s="108">
        <f aca="true" t="shared" si="33" ref="E139:E165">E106*0.45</f>
        <v>291.5961984</v>
      </c>
      <c r="F139" s="108">
        <f>F106*0.3</f>
        <v>111.47479668</v>
      </c>
      <c r="G139" s="108">
        <f aca="true" t="shared" si="34" ref="G139:G165">G106*0.45</f>
        <v>63.78666839999999</v>
      </c>
      <c r="H139" s="108">
        <f>H106*0.3</f>
        <v>33.41206439999999</v>
      </c>
      <c r="I139" s="108">
        <f>I106*0.5</f>
        <v>238.94688479999996</v>
      </c>
      <c r="J139" s="108">
        <f>J106*0.4</f>
        <v>382.31501568</v>
      </c>
      <c r="K139" s="108">
        <f>K106*0.5</f>
        <v>35.9432814</v>
      </c>
    </row>
    <row r="140" spans="1:11" ht="15">
      <c r="A140" s="111"/>
      <c r="B140" s="107" t="s">
        <v>15</v>
      </c>
      <c r="C140" s="108">
        <f t="shared" si="32"/>
        <v>193.00542</v>
      </c>
      <c r="D140" s="108">
        <f aca="true" t="shared" si="35" ref="D140:D165">D107*0.5</f>
        <v>168.258376</v>
      </c>
      <c r="E140" s="108">
        <f t="shared" si="33"/>
        <v>110.1327552</v>
      </c>
      <c r="F140" s="108">
        <f aca="true" t="shared" si="36" ref="F140:F165">F107*0.3</f>
        <v>42.10283454</v>
      </c>
      <c r="G140" s="108">
        <f t="shared" si="34"/>
        <v>24.0915402</v>
      </c>
      <c r="H140" s="108">
        <f aca="true" t="shared" si="37" ref="H140:H165">H107*0.3</f>
        <v>12.6193782</v>
      </c>
      <c r="I140" s="108">
        <f aca="true" t="shared" si="38" ref="I140:I165">I107*0.5</f>
        <v>90.2476744</v>
      </c>
      <c r="J140" s="108">
        <f aca="true" t="shared" si="39" ref="J140:J165">J107*0.4</f>
        <v>144.39627904</v>
      </c>
      <c r="K140" s="108">
        <f aca="true" t="shared" si="40" ref="K140:K165">K107*0.5</f>
        <v>13.5753917</v>
      </c>
    </row>
    <row r="141" spans="1:11" ht="15">
      <c r="A141" s="190" t="s">
        <v>16</v>
      </c>
      <c r="B141" s="191"/>
      <c r="C141" s="108">
        <f t="shared" si="32"/>
        <v>0</v>
      </c>
      <c r="D141" s="108">
        <f t="shared" si="35"/>
        <v>0</v>
      </c>
      <c r="E141" s="108">
        <f t="shared" si="33"/>
        <v>0</v>
      </c>
      <c r="F141" s="108">
        <f t="shared" si="36"/>
        <v>0</v>
      </c>
      <c r="G141" s="108">
        <f t="shared" si="34"/>
        <v>0</v>
      </c>
      <c r="H141" s="108">
        <f t="shared" si="37"/>
        <v>0</v>
      </c>
      <c r="I141" s="108">
        <f t="shared" si="38"/>
        <v>0</v>
      </c>
      <c r="J141" s="108">
        <f t="shared" si="39"/>
        <v>0</v>
      </c>
      <c r="K141" s="108">
        <f t="shared" si="40"/>
        <v>0</v>
      </c>
    </row>
    <row r="142" spans="1:11" ht="15">
      <c r="A142" s="209"/>
      <c r="B142" s="116" t="s">
        <v>17</v>
      </c>
      <c r="C142" s="108">
        <f t="shared" si="32"/>
        <v>146.83614</v>
      </c>
      <c r="D142" s="108">
        <f t="shared" si="35"/>
        <v>113.43968064</v>
      </c>
      <c r="E142" s="108">
        <f t="shared" si="33"/>
        <v>74.251427328</v>
      </c>
      <c r="F142" s="108">
        <f t="shared" si="36"/>
        <v>28.38570190560001</v>
      </c>
      <c r="G142" s="108">
        <f t="shared" si="34"/>
        <v>16.242499728000002</v>
      </c>
      <c r="H142" s="108">
        <f t="shared" si="37"/>
        <v>8.507976048</v>
      </c>
      <c r="I142" s="108">
        <f t="shared" si="38"/>
        <v>60.844919616000006</v>
      </c>
      <c r="J142" s="108">
        <f t="shared" si="39"/>
        <v>97.35187138560002</v>
      </c>
      <c r="K142" s="108">
        <f t="shared" si="40"/>
        <v>9.152519688000002</v>
      </c>
    </row>
    <row r="143" spans="1:11" ht="15">
      <c r="A143" s="209"/>
      <c r="B143" s="116" t="s">
        <v>18</v>
      </c>
      <c r="C143" s="108">
        <f t="shared" si="32"/>
        <v>38.602325</v>
      </c>
      <c r="D143" s="108">
        <f t="shared" si="35"/>
        <v>47.43913824000001</v>
      </c>
      <c r="E143" s="108">
        <f t="shared" si="33"/>
        <v>52.05223296000002</v>
      </c>
      <c r="F143" s="108">
        <f t="shared" si="36"/>
        <v>12.517322688000004</v>
      </c>
      <c r="G143" s="108">
        <f t="shared" si="34"/>
        <v>4.5855538560000015</v>
      </c>
      <c r="H143" s="108">
        <f t="shared" si="37"/>
        <v>3.0157246080000006</v>
      </c>
      <c r="I143" s="108">
        <f t="shared" si="38"/>
        <v>46.199799360000014</v>
      </c>
      <c r="J143" s="108">
        <f t="shared" si="39"/>
        <v>98.48612966400002</v>
      </c>
      <c r="K143" s="108">
        <f t="shared" si="40"/>
        <v>6.196694400000001</v>
      </c>
    </row>
    <row r="144" spans="1:11" ht="15">
      <c r="A144" s="209"/>
      <c r="B144" s="116" t="s">
        <v>19</v>
      </c>
      <c r="C144" s="108">
        <f t="shared" si="32"/>
        <v>189.18144</v>
      </c>
      <c r="D144" s="108">
        <f t="shared" si="35"/>
        <v>141.376664</v>
      </c>
      <c r="E144" s="108">
        <f t="shared" si="33"/>
        <v>92.53745280000001</v>
      </c>
      <c r="F144" s="108">
        <f t="shared" si="36"/>
        <v>35.376297060000006</v>
      </c>
      <c r="G144" s="108">
        <f t="shared" si="34"/>
        <v>20.242567800000003</v>
      </c>
      <c r="H144" s="108">
        <f t="shared" si="37"/>
        <v>10.6032498</v>
      </c>
      <c r="I144" s="108">
        <f t="shared" si="38"/>
        <v>75.82930160000001</v>
      </c>
      <c r="J144" s="108">
        <f t="shared" si="39"/>
        <v>121.32688256000002</v>
      </c>
      <c r="K144" s="108">
        <f t="shared" si="40"/>
        <v>11.406526300000001</v>
      </c>
    </row>
    <row r="145" spans="1:11" ht="15">
      <c r="A145" s="209"/>
      <c r="B145" s="116" t="s">
        <v>20</v>
      </c>
      <c r="C145" s="108">
        <f t="shared" si="32"/>
        <v>49.79960500000001</v>
      </c>
      <c r="D145" s="108">
        <f t="shared" si="35"/>
        <v>61.747408320000005</v>
      </c>
      <c r="E145" s="108">
        <f t="shared" si="33"/>
        <v>67.75187328000001</v>
      </c>
      <c r="F145" s="108">
        <f t="shared" si="36"/>
        <v>16.292712384</v>
      </c>
      <c r="G145" s="108">
        <f t="shared" si="34"/>
        <v>5.968617408000001</v>
      </c>
      <c r="H145" s="108">
        <f t="shared" si="37"/>
        <v>3.925306944</v>
      </c>
      <c r="I145" s="108">
        <f t="shared" si="38"/>
        <v>60.13426848000001</v>
      </c>
      <c r="J145" s="108">
        <f t="shared" si="39"/>
        <v>128.190845952</v>
      </c>
      <c r="K145" s="108">
        <f t="shared" si="40"/>
        <v>8.0656992</v>
      </c>
    </row>
    <row r="146" spans="1:11" ht="15">
      <c r="A146" s="209"/>
      <c r="B146" s="116" t="s">
        <v>21</v>
      </c>
      <c r="C146" s="108">
        <f t="shared" si="32"/>
        <v>142.14414</v>
      </c>
      <c r="D146" s="108">
        <f t="shared" si="35"/>
        <v>127.23636640000001</v>
      </c>
      <c r="E146" s="108">
        <f t="shared" si="33"/>
        <v>83.28198528000001</v>
      </c>
      <c r="F146" s="108">
        <f t="shared" si="36"/>
        <v>31.838008956000007</v>
      </c>
      <c r="G146" s="108">
        <f t="shared" si="34"/>
        <v>18.217934280000005</v>
      </c>
      <c r="H146" s="108">
        <f t="shared" si="37"/>
        <v>9.54272748</v>
      </c>
      <c r="I146" s="108">
        <f t="shared" si="38"/>
        <v>68.24496016</v>
      </c>
      <c r="J146" s="108">
        <f t="shared" si="39"/>
        <v>109.19193625600002</v>
      </c>
      <c r="K146" s="108">
        <f t="shared" si="40"/>
        <v>10.265661380000003</v>
      </c>
    </row>
    <row r="147" spans="1:11" ht="15">
      <c r="A147" s="209"/>
      <c r="B147" s="116" t="s">
        <v>22</v>
      </c>
      <c r="C147" s="108">
        <f t="shared" si="32"/>
        <v>60.49807</v>
      </c>
      <c r="D147" s="108">
        <f t="shared" si="35"/>
        <v>74.24994720000001</v>
      </c>
      <c r="E147" s="108">
        <f t="shared" si="33"/>
        <v>81.47018880000002</v>
      </c>
      <c r="F147" s="108">
        <f t="shared" si="36"/>
        <v>19.591640640000005</v>
      </c>
      <c r="G147" s="108">
        <f t="shared" si="34"/>
        <v>7.177135680000001</v>
      </c>
      <c r="H147" s="108">
        <f t="shared" si="37"/>
        <v>4.7200982400000004</v>
      </c>
      <c r="I147" s="108">
        <f t="shared" si="38"/>
        <v>72.31018080000001</v>
      </c>
      <c r="J147" s="108">
        <f t="shared" si="39"/>
        <v>154.14676992</v>
      </c>
      <c r="K147" s="108">
        <f t="shared" si="40"/>
        <v>9.698832000000001</v>
      </c>
    </row>
    <row r="148" spans="1:11" ht="15">
      <c r="A148" s="209"/>
      <c r="B148" s="116" t="s">
        <v>23</v>
      </c>
      <c r="C148" s="108">
        <f t="shared" si="32"/>
        <v>278.9394</v>
      </c>
      <c r="D148" s="108">
        <f t="shared" si="35"/>
        <v>237.79902432000003</v>
      </c>
      <c r="E148" s="108">
        <f t="shared" si="33"/>
        <v>155.65027046400004</v>
      </c>
      <c r="F148" s="108">
        <f t="shared" si="36"/>
        <v>59.503801312800015</v>
      </c>
      <c r="G148" s="108">
        <f t="shared" si="34"/>
        <v>34.04849666400001</v>
      </c>
      <c r="H148" s="108">
        <f t="shared" si="37"/>
        <v>17.834926824</v>
      </c>
      <c r="I148" s="108">
        <f t="shared" si="38"/>
        <v>127.54674940800003</v>
      </c>
      <c r="J148" s="108">
        <f t="shared" si="39"/>
        <v>204.07479905280005</v>
      </c>
      <c r="K148" s="108">
        <f t="shared" si="40"/>
        <v>19.186057644000005</v>
      </c>
    </row>
    <row r="149" spans="1:11" ht="15">
      <c r="A149" s="209"/>
      <c r="B149" s="116" t="s">
        <v>24</v>
      </c>
      <c r="C149" s="108">
        <f t="shared" si="32"/>
        <v>82.230025</v>
      </c>
      <c r="D149" s="108">
        <f t="shared" si="35"/>
        <v>112.63105048000001</v>
      </c>
      <c r="E149" s="108">
        <f t="shared" si="33"/>
        <v>123.58356192000004</v>
      </c>
      <c r="F149" s="108">
        <f t="shared" si="36"/>
        <v>29.718904176000002</v>
      </c>
      <c r="G149" s="108">
        <f t="shared" si="34"/>
        <v>10.887123312000002</v>
      </c>
      <c r="H149" s="108">
        <f t="shared" si="37"/>
        <v>7.160000016000001</v>
      </c>
      <c r="I149" s="108">
        <f t="shared" si="38"/>
        <v>109.68858472000002</v>
      </c>
      <c r="J149" s="108">
        <f t="shared" si="39"/>
        <v>233.827945728</v>
      </c>
      <c r="K149" s="108">
        <f t="shared" si="40"/>
        <v>14.7123288</v>
      </c>
    </row>
    <row r="150" spans="1:11" ht="30">
      <c r="A150" s="209"/>
      <c r="B150" s="116" t="s">
        <v>25</v>
      </c>
      <c r="C150" s="108">
        <f t="shared" si="32"/>
        <v>221.18088000000003</v>
      </c>
      <c r="D150" s="108">
        <f t="shared" si="35"/>
        <v>178.7129344</v>
      </c>
      <c r="E150" s="108">
        <f t="shared" si="33"/>
        <v>116.97573888000001</v>
      </c>
      <c r="F150" s="108">
        <f t="shared" si="36"/>
        <v>44.718850176</v>
      </c>
      <c r="G150" s="108">
        <f t="shared" si="34"/>
        <v>25.588442880000002</v>
      </c>
      <c r="H150" s="108">
        <f t="shared" si="37"/>
        <v>13.40347008</v>
      </c>
      <c r="I150" s="108">
        <f t="shared" si="38"/>
        <v>95.85511936</v>
      </c>
      <c r="J150" s="108">
        <f t="shared" si="39"/>
        <v>153.36819097600002</v>
      </c>
      <c r="K150" s="108">
        <f t="shared" si="40"/>
        <v>14.418884480000001</v>
      </c>
    </row>
    <row r="151" spans="1:11" ht="30">
      <c r="A151" s="209"/>
      <c r="B151" s="116" t="s">
        <v>26</v>
      </c>
      <c r="C151" s="108">
        <f t="shared" si="32"/>
        <v>39.748855</v>
      </c>
      <c r="D151" s="108">
        <f t="shared" si="35"/>
        <v>46.31270592</v>
      </c>
      <c r="E151" s="108">
        <f t="shared" si="33"/>
        <v>50.81626368</v>
      </c>
      <c r="F151" s="108">
        <f t="shared" si="36"/>
        <v>12.220101504</v>
      </c>
      <c r="G151" s="108">
        <f t="shared" si="34"/>
        <v>4.4766708479999995</v>
      </c>
      <c r="H151" s="108">
        <f t="shared" si="37"/>
        <v>2.9441168639999993</v>
      </c>
      <c r="I151" s="108">
        <f t="shared" si="38"/>
        <v>45.10279488</v>
      </c>
      <c r="J151" s="108">
        <f t="shared" si="39"/>
        <v>96.14759731199999</v>
      </c>
      <c r="K151" s="108">
        <f t="shared" si="40"/>
        <v>6.049555199999999</v>
      </c>
    </row>
    <row r="152" spans="1:11" ht="15">
      <c r="A152" s="209"/>
      <c r="B152" s="116" t="s">
        <v>27</v>
      </c>
      <c r="C152" s="108">
        <f t="shared" si="32"/>
        <v>178.9998</v>
      </c>
      <c r="D152" s="108">
        <f t="shared" si="35"/>
        <v>149.30998367999996</v>
      </c>
      <c r="E152" s="108">
        <f t="shared" si="33"/>
        <v>97.730171136</v>
      </c>
      <c r="F152" s="108">
        <f t="shared" si="36"/>
        <v>37.36143000719999</v>
      </c>
      <c r="G152" s="108">
        <f t="shared" si="34"/>
        <v>21.378474935999996</v>
      </c>
      <c r="H152" s="108">
        <f t="shared" si="37"/>
        <v>11.198248775999996</v>
      </c>
      <c r="I152" s="108">
        <f t="shared" si="38"/>
        <v>80.08444579199998</v>
      </c>
      <c r="J152" s="108">
        <f t="shared" si="39"/>
        <v>128.13511326719998</v>
      </c>
      <c r="K152" s="108">
        <f t="shared" si="40"/>
        <v>12.046600955999999</v>
      </c>
    </row>
    <row r="153" spans="1:11" ht="15">
      <c r="A153" s="209"/>
      <c r="B153" s="116" t="s">
        <v>28</v>
      </c>
      <c r="C153" s="108">
        <f t="shared" si="32"/>
        <v>49.49436</v>
      </c>
      <c r="D153" s="108">
        <f t="shared" si="35"/>
        <v>63.8025024</v>
      </c>
      <c r="E153" s="108">
        <f t="shared" si="33"/>
        <v>70.0068096</v>
      </c>
      <c r="F153" s="108">
        <f t="shared" si="36"/>
        <v>16.83497088</v>
      </c>
      <c r="G153" s="108">
        <f t="shared" si="34"/>
        <v>6.16726656</v>
      </c>
      <c r="H153" s="108">
        <f t="shared" si="37"/>
        <v>4.05595008</v>
      </c>
      <c r="I153" s="108">
        <f t="shared" si="38"/>
        <v>62.135673600000004</v>
      </c>
      <c r="J153" s="108">
        <f t="shared" si="39"/>
        <v>132.45732864</v>
      </c>
      <c r="K153" s="108">
        <f t="shared" si="40"/>
        <v>8.334143999999998</v>
      </c>
    </row>
    <row r="154" spans="1:11" ht="15">
      <c r="A154" s="209"/>
      <c r="B154" s="116" t="s">
        <v>29</v>
      </c>
      <c r="C154" s="108">
        <f t="shared" si="32"/>
        <v>110.89541999999999</v>
      </c>
      <c r="D154" s="108">
        <f t="shared" si="35"/>
        <v>107.5739808</v>
      </c>
      <c r="E154" s="108">
        <f t="shared" si="33"/>
        <v>70.41206016000001</v>
      </c>
      <c r="F154" s="108">
        <f t="shared" si="36"/>
        <v>26.917943832000006</v>
      </c>
      <c r="G154" s="108">
        <f t="shared" si="34"/>
        <v>15.402638160000002</v>
      </c>
      <c r="H154" s="108">
        <f t="shared" si="37"/>
        <v>8.06804856</v>
      </c>
      <c r="I154" s="108">
        <f t="shared" si="38"/>
        <v>57.69877152</v>
      </c>
      <c r="J154" s="108">
        <f t="shared" si="39"/>
        <v>92.318034432</v>
      </c>
      <c r="K154" s="108">
        <f t="shared" si="40"/>
        <v>8.679264360000001</v>
      </c>
    </row>
    <row r="155" spans="1:11" ht="15">
      <c r="A155" s="209"/>
      <c r="B155" s="116" t="s">
        <v>30</v>
      </c>
      <c r="C155" s="108">
        <f t="shared" si="32"/>
        <v>60.70653000000001</v>
      </c>
      <c r="D155" s="108">
        <f t="shared" si="35"/>
        <v>77.49166464000001</v>
      </c>
      <c r="E155" s="108">
        <f t="shared" si="33"/>
        <v>85.02713856000003</v>
      </c>
      <c r="F155" s="108">
        <f t="shared" si="36"/>
        <v>20.447002368000003</v>
      </c>
      <c r="G155" s="108">
        <f t="shared" si="34"/>
        <v>7.490486016000001</v>
      </c>
      <c r="H155" s="108">
        <f t="shared" si="37"/>
        <v>4.926175488000001</v>
      </c>
      <c r="I155" s="108">
        <f t="shared" si="38"/>
        <v>75.46720896000002</v>
      </c>
      <c r="J155" s="108">
        <f t="shared" si="39"/>
        <v>160.87674470400003</v>
      </c>
      <c r="K155" s="108">
        <f t="shared" si="40"/>
        <v>10.1222784</v>
      </c>
    </row>
    <row r="156" spans="1:11" ht="15">
      <c r="A156" s="209"/>
      <c r="B156" s="116" t="s">
        <v>31</v>
      </c>
      <c r="C156" s="108">
        <f t="shared" si="32"/>
        <v>617.5375799999999</v>
      </c>
      <c r="D156" s="108">
        <f t="shared" si="35"/>
        <v>517.9940022399999</v>
      </c>
      <c r="E156" s="108">
        <f t="shared" si="33"/>
        <v>339.05061964799995</v>
      </c>
      <c r="F156" s="108">
        <f t="shared" si="36"/>
        <v>129.61622646959998</v>
      </c>
      <c r="G156" s="108">
        <f t="shared" si="34"/>
        <v>74.16732304799999</v>
      </c>
      <c r="H156" s="108">
        <f t="shared" si="37"/>
        <v>38.849550167999986</v>
      </c>
      <c r="I156" s="108">
        <f t="shared" si="38"/>
        <v>277.83314665599994</v>
      </c>
      <c r="J156" s="108">
        <f t="shared" si="39"/>
        <v>444.5330346495999</v>
      </c>
      <c r="K156" s="108">
        <f t="shared" si="40"/>
        <v>41.792697907999994</v>
      </c>
    </row>
    <row r="157" spans="1:11" ht="15">
      <c r="A157" s="209"/>
      <c r="B157" s="116" t="s">
        <v>32</v>
      </c>
      <c r="C157" s="108">
        <f t="shared" si="32"/>
        <v>74.73547500000001</v>
      </c>
      <c r="D157" s="108">
        <f t="shared" si="35"/>
        <v>83.96148488000001</v>
      </c>
      <c r="E157" s="108">
        <f t="shared" si="33"/>
        <v>92.12609952000003</v>
      </c>
      <c r="F157" s="108">
        <f t="shared" si="36"/>
        <v>22.154133456000004</v>
      </c>
      <c r="G157" s="108">
        <f t="shared" si="34"/>
        <v>8.115870672000002</v>
      </c>
      <c r="H157" s="108">
        <f t="shared" si="37"/>
        <v>5.337464496</v>
      </c>
      <c r="I157" s="108">
        <f t="shared" si="38"/>
        <v>81.76800632000001</v>
      </c>
      <c r="J157" s="108">
        <f t="shared" si="39"/>
        <v>174.308429568</v>
      </c>
      <c r="K157" s="108">
        <f t="shared" si="40"/>
        <v>10.9673928</v>
      </c>
    </row>
    <row r="158" spans="1:11" ht="15">
      <c r="A158" s="190" t="s">
        <v>33</v>
      </c>
      <c r="B158" s="191"/>
      <c r="C158" s="108">
        <f t="shared" si="32"/>
        <v>0</v>
      </c>
      <c r="D158" s="108">
        <f t="shared" si="35"/>
        <v>0</v>
      </c>
      <c r="E158" s="108">
        <f t="shared" si="33"/>
        <v>0</v>
      </c>
      <c r="F158" s="108">
        <f t="shared" si="36"/>
        <v>0</v>
      </c>
      <c r="G158" s="108">
        <f t="shared" si="34"/>
        <v>0</v>
      </c>
      <c r="H158" s="108">
        <f t="shared" si="37"/>
        <v>0</v>
      </c>
      <c r="I158" s="108">
        <f t="shared" si="38"/>
        <v>0</v>
      </c>
      <c r="J158" s="108">
        <f t="shared" si="39"/>
        <v>0</v>
      </c>
      <c r="K158" s="108">
        <f t="shared" si="40"/>
        <v>0</v>
      </c>
    </row>
    <row r="159" spans="1:11" ht="15.75">
      <c r="A159" s="136"/>
      <c r="B159" s="107" t="s">
        <v>34</v>
      </c>
      <c r="C159" s="108">
        <f t="shared" si="32"/>
        <v>144.93181500000003</v>
      </c>
      <c r="D159" s="108">
        <f t="shared" si="35"/>
        <v>215.31212794000004</v>
      </c>
      <c r="E159" s="108">
        <f t="shared" si="33"/>
        <v>236.24959176000004</v>
      </c>
      <c r="F159" s="108">
        <f t="shared" si="36"/>
        <v>56.81240182800001</v>
      </c>
      <c r="G159" s="108">
        <f t="shared" si="34"/>
        <v>20.812464036000005</v>
      </c>
      <c r="H159" s="108">
        <f t="shared" si="37"/>
        <v>13.687476348000002</v>
      </c>
      <c r="I159" s="108">
        <f t="shared" si="38"/>
        <v>209.68713766000005</v>
      </c>
      <c r="J159" s="108">
        <f t="shared" si="39"/>
        <v>446.9992275840001</v>
      </c>
      <c r="K159" s="108">
        <f t="shared" si="40"/>
        <v>28.1249514</v>
      </c>
    </row>
    <row r="160" spans="1:11" ht="15.75">
      <c r="A160" s="136"/>
      <c r="B160" s="107" t="s">
        <v>35</v>
      </c>
      <c r="C160" s="108">
        <f t="shared" si="32"/>
        <v>67.38469500000001</v>
      </c>
      <c r="D160" s="108">
        <f t="shared" si="35"/>
        <v>93.12234620000001</v>
      </c>
      <c r="E160" s="108">
        <f t="shared" si="33"/>
        <v>102.1777848</v>
      </c>
      <c r="F160" s="108">
        <f t="shared" si="36"/>
        <v>24.571324439999998</v>
      </c>
      <c r="G160" s="108">
        <f t="shared" si="34"/>
        <v>9.00137628</v>
      </c>
      <c r="H160" s="108">
        <f t="shared" si="37"/>
        <v>5.91982404</v>
      </c>
      <c r="I160" s="108">
        <f t="shared" si="38"/>
        <v>90.68954180000001</v>
      </c>
      <c r="J160" s="108">
        <f t="shared" si="39"/>
        <v>193.32685632</v>
      </c>
      <c r="K160" s="108">
        <f t="shared" si="40"/>
        <v>12.164022</v>
      </c>
    </row>
    <row r="161" spans="1:11" ht="15.75">
      <c r="A161" s="136"/>
      <c r="B161" s="107" t="s">
        <v>36</v>
      </c>
      <c r="C161" s="108">
        <f t="shared" si="32"/>
        <v>31.306225000000005</v>
      </c>
      <c r="D161" s="108">
        <f t="shared" si="35"/>
        <v>41.95118434</v>
      </c>
      <c r="E161" s="108">
        <f t="shared" si="33"/>
        <v>46.03061736</v>
      </c>
      <c r="F161" s="108">
        <f t="shared" si="36"/>
        <v>11.069267508</v>
      </c>
      <c r="G161" s="108">
        <f t="shared" si="34"/>
        <v>4.055078196</v>
      </c>
      <c r="H161" s="108">
        <f t="shared" si="37"/>
        <v>2.666853228</v>
      </c>
      <c r="I161" s="108">
        <f t="shared" si="38"/>
        <v>40.85521726</v>
      </c>
      <c r="J161" s="108">
        <f t="shared" si="39"/>
        <v>87.092850624</v>
      </c>
      <c r="K161" s="108">
        <f t="shared" si="40"/>
        <v>5.479835399999999</v>
      </c>
    </row>
    <row r="162" spans="1:11" ht="15.75">
      <c r="A162" s="136"/>
      <c r="B162" s="107" t="s">
        <v>37</v>
      </c>
      <c r="C162" s="108">
        <f t="shared" si="32"/>
        <v>78.18739000000001</v>
      </c>
      <c r="D162" s="108">
        <f t="shared" si="35"/>
        <v>120.06070284000002</v>
      </c>
      <c r="E162" s="108">
        <f t="shared" si="33"/>
        <v>131.73569136000003</v>
      </c>
      <c r="F162" s="108">
        <f t="shared" si="36"/>
        <v>31.679297208</v>
      </c>
      <c r="G162" s="108">
        <f t="shared" si="34"/>
        <v>11.605287096000001</v>
      </c>
      <c r="H162" s="108">
        <f t="shared" si="37"/>
        <v>7.632305928000001</v>
      </c>
      <c r="I162" s="108">
        <f t="shared" si="38"/>
        <v>116.92413876000002</v>
      </c>
      <c r="J162" s="108">
        <f t="shared" si="39"/>
        <v>249.252292224</v>
      </c>
      <c r="K162" s="108">
        <f t="shared" si="40"/>
        <v>15.6828204</v>
      </c>
    </row>
    <row r="163" spans="1:11" ht="15.75">
      <c r="A163" s="136"/>
      <c r="B163" s="107" t="s">
        <v>38</v>
      </c>
      <c r="C163" s="108">
        <f t="shared" si="32"/>
        <v>51.444950000000006</v>
      </c>
      <c r="D163" s="108">
        <f t="shared" si="35"/>
        <v>75.38569480000001</v>
      </c>
      <c r="E163" s="108">
        <f t="shared" si="33"/>
        <v>82.71637920000002</v>
      </c>
      <c r="F163" s="108">
        <f t="shared" si="36"/>
        <v>19.891319760000002</v>
      </c>
      <c r="G163" s="108">
        <f t="shared" si="34"/>
        <v>7.286919120000001</v>
      </c>
      <c r="H163" s="108">
        <f t="shared" si="37"/>
        <v>4.7922981600000005</v>
      </c>
      <c r="I163" s="108">
        <f t="shared" si="38"/>
        <v>73.41625720000002</v>
      </c>
      <c r="J163" s="108">
        <f t="shared" si="39"/>
        <v>156.50464128</v>
      </c>
      <c r="K163" s="108">
        <f t="shared" si="40"/>
        <v>9.847188</v>
      </c>
    </row>
    <row r="164" spans="1:11" ht="15.75">
      <c r="A164" s="136"/>
      <c r="B164" s="107" t="s">
        <v>39</v>
      </c>
      <c r="C164" s="108">
        <f t="shared" si="32"/>
        <v>60.92243500000001</v>
      </c>
      <c r="D164" s="108">
        <f t="shared" si="35"/>
        <v>93.72622714000002</v>
      </c>
      <c r="E164" s="108">
        <f t="shared" si="33"/>
        <v>102.84038856000002</v>
      </c>
      <c r="F164" s="108">
        <f t="shared" si="36"/>
        <v>24.730664868</v>
      </c>
      <c r="G164" s="108">
        <f t="shared" si="34"/>
        <v>9.059748516000003</v>
      </c>
      <c r="H164" s="108">
        <f t="shared" si="37"/>
        <v>5.958212988000001</v>
      </c>
      <c r="I164" s="108">
        <f t="shared" si="38"/>
        <v>91.27764646000003</v>
      </c>
      <c r="J164" s="108">
        <f t="shared" si="39"/>
        <v>194.58054470400003</v>
      </c>
      <c r="K164" s="108">
        <f t="shared" si="40"/>
        <v>12.242903400000001</v>
      </c>
    </row>
    <row r="165" spans="1:11" ht="30">
      <c r="A165" s="136"/>
      <c r="B165" s="120" t="s">
        <v>40</v>
      </c>
      <c r="C165" s="108">
        <f t="shared" si="32"/>
        <v>100.43305000000001</v>
      </c>
      <c r="D165" s="108">
        <f t="shared" si="35"/>
        <v>175.34187372000005</v>
      </c>
      <c r="E165" s="108">
        <f t="shared" si="33"/>
        <v>192.39253488000006</v>
      </c>
      <c r="F165" s="108">
        <f t="shared" si="36"/>
        <v>46.265823864000005</v>
      </c>
      <c r="G165" s="108">
        <f t="shared" si="34"/>
        <v>16.948866168000006</v>
      </c>
      <c r="H165" s="108">
        <f t="shared" si="37"/>
        <v>11.146551624000002</v>
      </c>
      <c r="I165" s="108">
        <f t="shared" si="38"/>
        <v>170.76109908000006</v>
      </c>
      <c r="J165" s="108">
        <f t="shared" si="39"/>
        <v>364.01889139200006</v>
      </c>
      <c r="K165" s="108">
        <f t="shared" si="40"/>
        <v>22.903873200000003</v>
      </c>
    </row>
    <row r="166" spans="1:11" ht="15.75">
      <c r="A166" s="210" t="s">
        <v>114</v>
      </c>
      <c r="B166" s="211"/>
      <c r="C166" s="137">
        <f aca="true" t="shared" si="41" ref="C166:K166">SUM(C139:C165)</f>
        <v>3555.143385</v>
      </c>
      <c r="D166" s="144">
        <f t="shared" si="41"/>
        <v>3569.73126354</v>
      </c>
      <c r="E166" s="144">
        <f t="shared" si="41"/>
        <v>2948.595835536001</v>
      </c>
      <c r="F166" s="144">
        <f t="shared" si="41"/>
        <v>912.0927785112</v>
      </c>
      <c r="G166" s="144">
        <f t="shared" si="41"/>
        <v>446.8050498599999</v>
      </c>
      <c r="H166" s="144">
        <f t="shared" si="41"/>
        <v>251.927999388</v>
      </c>
      <c r="I166" s="144">
        <f t="shared" si="41"/>
        <v>2519.549528652</v>
      </c>
      <c r="J166" s="144">
        <f t="shared" si="41"/>
        <v>4747.2282529152</v>
      </c>
      <c r="K166" s="144">
        <f t="shared" si="41"/>
        <v>357.059404416</v>
      </c>
    </row>
    <row r="167" ht="12.75">
      <c r="J167" s="23"/>
    </row>
    <row r="168" ht="12.75">
      <c r="J168" s="23"/>
    </row>
    <row r="169" spans="1:10" ht="15">
      <c r="A169" s="212" t="s">
        <v>245</v>
      </c>
      <c r="B169" s="212"/>
      <c r="C169" s="212"/>
      <c r="D169" s="212"/>
      <c r="E169" s="212"/>
      <c r="J169" s="23"/>
    </row>
    <row r="170" ht="12.75">
      <c r="J170" s="23"/>
    </row>
    <row r="171" spans="1:11" ht="110.25">
      <c r="A171" s="72" t="s">
        <v>158</v>
      </c>
      <c r="B171" s="135" t="s">
        <v>159</v>
      </c>
      <c r="C171" s="135" t="s">
        <v>217</v>
      </c>
      <c r="D171" s="135" t="s">
        <v>9</v>
      </c>
      <c r="E171" s="135" t="s">
        <v>6</v>
      </c>
      <c r="F171" s="135" t="s">
        <v>218</v>
      </c>
      <c r="G171" s="135" t="s">
        <v>219</v>
      </c>
      <c r="H171" s="135" t="s">
        <v>220</v>
      </c>
      <c r="I171" s="135" t="s">
        <v>221</v>
      </c>
      <c r="J171" s="135" t="s">
        <v>222</v>
      </c>
      <c r="K171" s="135" t="s">
        <v>223</v>
      </c>
    </row>
    <row r="172" spans="1:11" ht="15">
      <c r="A172" s="190" t="s">
        <v>13</v>
      </c>
      <c r="B172" s="192"/>
      <c r="C172" s="102"/>
      <c r="D172" s="102"/>
      <c r="E172" s="103"/>
      <c r="F172" s="103"/>
      <c r="G172" s="104"/>
      <c r="H172" s="104"/>
      <c r="I172" s="128"/>
      <c r="J172" s="104"/>
      <c r="K172" s="104"/>
    </row>
    <row r="173" spans="1:11" ht="15">
      <c r="A173" s="111"/>
      <c r="B173" s="107" t="s">
        <v>14</v>
      </c>
      <c r="C173" s="139">
        <v>10222.2225</v>
      </c>
      <c r="D173" s="108">
        <f>0.088*$C173</f>
        <v>899.55558</v>
      </c>
      <c r="E173" s="108">
        <f>0.064*$C173</f>
        <v>654.22224</v>
      </c>
      <c r="F173" s="108">
        <f>0.0367*$C173</f>
        <v>375.15556575000005</v>
      </c>
      <c r="G173" s="108">
        <f>0.014*$C173</f>
        <v>143.111115</v>
      </c>
      <c r="H173" s="108">
        <f>0.011*$C173</f>
        <v>112.4444475</v>
      </c>
      <c r="I173" s="108">
        <f>0.0472*$C173</f>
        <v>482.488902</v>
      </c>
      <c r="J173" s="108">
        <f>0.0944*$C173</f>
        <v>964.977804</v>
      </c>
      <c r="K173" s="108">
        <f>0.0071*$C173</f>
        <v>72.57777975</v>
      </c>
    </row>
    <row r="174" spans="1:11" ht="15">
      <c r="A174" s="111"/>
      <c r="B174" s="107" t="s">
        <v>15</v>
      </c>
      <c r="C174" s="139">
        <v>3860.82375</v>
      </c>
      <c r="D174" s="108">
        <f>0.088*$C174</f>
        <v>339.75248999999997</v>
      </c>
      <c r="E174" s="108">
        <f>0.064*$C174</f>
        <v>247.09272</v>
      </c>
      <c r="F174" s="108">
        <f>0.0367*$C174</f>
        <v>141.692231625</v>
      </c>
      <c r="G174" s="108">
        <f>0.014*$C174</f>
        <v>54.0515325</v>
      </c>
      <c r="H174" s="108">
        <f>0.011*$C174</f>
        <v>42.469061249999996</v>
      </c>
      <c r="I174" s="108">
        <f>0.0472*$C174</f>
        <v>182.230881</v>
      </c>
      <c r="J174" s="108">
        <f>0.0944*$C174</f>
        <v>364.461762</v>
      </c>
      <c r="K174" s="108">
        <f>0.0071*$C174</f>
        <v>27.411848625</v>
      </c>
    </row>
    <row r="175" spans="1:11" ht="15">
      <c r="A175" s="190" t="s">
        <v>16</v>
      </c>
      <c r="B175" s="191"/>
      <c r="C175" s="139">
        <v>0</v>
      </c>
      <c r="D175" s="111"/>
      <c r="E175" s="109"/>
      <c r="F175" s="112"/>
      <c r="G175" s="111"/>
      <c r="H175" s="111"/>
      <c r="I175" s="131"/>
      <c r="J175" s="113"/>
      <c r="K175" s="140">
        <f>I175+J175</f>
        <v>0</v>
      </c>
    </row>
    <row r="176" spans="1:11" ht="15">
      <c r="A176" s="209"/>
      <c r="B176" s="116" t="s">
        <v>17</v>
      </c>
      <c r="C176" s="139">
        <v>2602.9647000000004</v>
      </c>
      <c r="D176" s="108">
        <f>0.088*$C176</f>
        <v>229.0608936</v>
      </c>
      <c r="E176" s="108">
        <f>0.064*$C176</f>
        <v>166.58974080000004</v>
      </c>
      <c r="F176" s="108">
        <f>0.0367*$C176</f>
        <v>95.52880449000003</v>
      </c>
      <c r="G176" s="108">
        <f>0.014*$C176</f>
        <v>36.44150580000001</v>
      </c>
      <c r="H176" s="108">
        <f>0.011*$C176</f>
        <v>28.6326117</v>
      </c>
      <c r="I176" s="108">
        <f>0.0472*$C176</f>
        <v>122.85993384000002</v>
      </c>
      <c r="J176" s="108">
        <f>0.0944*$C176</f>
        <v>245.71986768000005</v>
      </c>
      <c r="K176" s="108">
        <f>0.0071*$C176</f>
        <v>18.481049370000004</v>
      </c>
    </row>
    <row r="177" spans="1:11" ht="15">
      <c r="A177" s="209"/>
      <c r="B177" s="116" t="s">
        <v>18</v>
      </c>
      <c r="C177" s="139">
        <v>1390.2840000000003</v>
      </c>
      <c r="D177" s="108">
        <f>0.0689*$C177</f>
        <v>95.79056760000003</v>
      </c>
      <c r="E177" s="108">
        <f>0.084*$C177</f>
        <v>116.78385600000003</v>
      </c>
      <c r="F177" s="108">
        <f>0.0303*$C177</f>
        <v>42.12560520000001</v>
      </c>
      <c r="G177" s="108">
        <f>0.0074*$C177</f>
        <v>10.288101600000003</v>
      </c>
      <c r="H177" s="108">
        <f>0.0073*$C177</f>
        <v>10.149073200000002</v>
      </c>
      <c r="I177" s="108">
        <f>0.0671*$C177</f>
        <v>93.28805640000003</v>
      </c>
      <c r="J177" s="108">
        <f>0.1788*$C177</f>
        <v>248.58277920000003</v>
      </c>
      <c r="K177" s="108">
        <f>0.009*$C177</f>
        <v>12.512556000000002</v>
      </c>
    </row>
    <row r="178" spans="1:11" ht="15">
      <c r="A178" s="209"/>
      <c r="B178" s="116" t="s">
        <v>19</v>
      </c>
      <c r="C178" s="139">
        <v>3244.0012500000003</v>
      </c>
      <c r="D178" s="108">
        <f>0.088*$C178</f>
        <v>285.47211</v>
      </c>
      <c r="E178" s="108">
        <f>0.064*$C178</f>
        <v>207.61608</v>
      </c>
      <c r="F178" s="108">
        <f>0.0367*$C178</f>
        <v>119.05484587500003</v>
      </c>
      <c r="G178" s="108">
        <f>0.014*$C178</f>
        <v>45.4160175</v>
      </c>
      <c r="H178" s="108">
        <f>0.011*$C178</f>
        <v>35.68401375</v>
      </c>
      <c r="I178" s="108">
        <f>0.0472*$C178</f>
        <v>153.116859</v>
      </c>
      <c r="J178" s="108">
        <f>0.0944*$C178</f>
        <v>306.233718</v>
      </c>
      <c r="K178" s="108">
        <f>0.0071*$C178</f>
        <v>23.032408875</v>
      </c>
    </row>
    <row r="179" spans="1:11" ht="15">
      <c r="A179" s="209"/>
      <c r="B179" s="116" t="s">
        <v>20</v>
      </c>
      <c r="C179" s="139">
        <v>1809.612</v>
      </c>
      <c r="D179" s="108">
        <f>0.0689*$C179</f>
        <v>124.68226680000001</v>
      </c>
      <c r="E179" s="108">
        <f>0.084*$C179</f>
        <v>152.00740800000003</v>
      </c>
      <c r="F179" s="108">
        <f>0.0303*$C179</f>
        <v>54.8312436</v>
      </c>
      <c r="G179" s="108">
        <f>0.0074*$C179</f>
        <v>13.3911288</v>
      </c>
      <c r="H179" s="108">
        <f>0.0073*$C179</f>
        <v>13.2101676</v>
      </c>
      <c r="I179" s="108">
        <f>0.0671*$C179</f>
        <v>121.42496520000002</v>
      </c>
      <c r="J179" s="108">
        <f>0.1788*$C179</f>
        <v>323.55862559999997</v>
      </c>
      <c r="K179" s="108">
        <f>0.009*$C179</f>
        <v>16.286507999999998</v>
      </c>
    </row>
    <row r="180" spans="1:11" ht="15">
      <c r="A180" s="209"/>
      <c r="B180" s="116" t="s">
        <v>21</v>
      </c>
      <c r="C180" s="139">
        <v>2919.5407500000006</v>
      </c>
      <c r="D180" s="108">
        <f>0.088*$C180</f>
        <v>256.91958600000004</v>
      </c>
      <c r="E180" s="108">
        <f>0.064*$C180</f>
        <v>186.85060800000005</v>
      </c>
      <c r="F180" s="108">
        <f>0.0367*$C180</f>
        <v>107.14714552500003</v>
      </c>
      <c r="G180" s="108">
        <f>0.014*$C180</f>
        <v>40.87357050000001</v>
      </c>
      <c r="H180" s="108">
        <f>0.011*$C180</f>
        <v>32.114948250000005</v>
      </c>
      <c r="I180" s="108">
        <f>0.0472*$C180</f>
        <v>137.80232340000003</v>
      </c>
      <c r="J180" s="108">
        <f>0.0944*$C180</f>
        <v>275.60464680000007</v>
      </c>
      <c r="K180" s="108">
        <f>0.0071*$C180</f>
        <v>20.728739325000006</v>
      </c>
    </row>
    <row r="181" spans="1:11" ht="15">
      <c r="A181" s="209"/>
      <c r="B181" s="116" t="s">
        <v>22</v>
      </c>
      <c r="C181" s="139">
        <v>2176.02</v>
      </c>
      <c r="D181" s="108">
        <f>0.0689*$C181</f>
        <v>149.92777800000002</v>
      </c>
      <c r="E181" s="108">
        <f>0.084*$C181</f>
        <v>182.78568</v>
      </c>
      <c r="F181" s="108">
        <f>0.0303*$C181</f>
        <v>65.933406</v>
      </c>
      <c r="G181" s="108">
        <f>0.0074*$C181</f>
        <v>16.102548000000002</v>
      </c>
      <c r="H181" s="108">
        <f>0.0073*$C181</f>
        <v>15.884946</v>
      </c>
      <c r="I181" s="108">
        <f>0.0671*$C181</f>
        <v>146.010942</v>
      </c>
      <c r="J181" s="108">
        <f>0.1788*$C181</f>
        <v>389.07237599999996</v>
      </c>
      <c r="K181" s="108">
        <f>0.009*$C181</f>
        <v>19.58418</v>
      </c>
    </row>
    <row r="182" spans="1:11" ht="15">
      <c r="A182" s="209"/>
      <c r="B182" s="116" t="s">
        <v>23</v>
      </c>
      <c r="C182" s="139">
        <v>5456.489850000002</v>
      </c>
      <c r="D182" s="108">
        <f>0.088*$C182</f>
        <v>480.17110680000013</v>
      </c>
      <c r="E182" s="108">
        <f>0.064*$C182</f>
        <v>349.21535040000015</v>
      </c>
      <c r="F182" s="108">
        <f>0.0367*$C182</f>
        <v>200.25317749500007</v>
      </c>
      <c r="G182" s="108">
        <f>0.014*$C182</f>
        <v>76.39085790000003</v>
      </c>
      <c r="H182" s="108">
        <f>0.011*$C182</f>
        <v>60.02138835000002</v>
      </c>
      <c r="I182" s="108">
        <f>0.0472*$C182</f>
        <v>257.5463209200001</v>
      </c>
      <c r="J182" s="108">
        <f>0.0944*$C182</f>
        <v>515.0926418400002</v>
      </c>
      <c r="K182" s="108">
        <f>0.0071*$C182</f>
        <v>38.741077935000014</v>
      </c>
    </row>
    <row r="183" spans="1:11" ht="15">
      <c r="A183" s="209"/>
      <c r="B183" s="116" t="s">
        <v>24</v>
      </c>
      <c r="C183" s="139">
        <v>3300.8430000000003</v>
      </c>
      <c r="D183" s="108">
        <f>0.0689*$C183</f>
        <v>227.42808270000003</v>
      </c>
      <c r="E183" s="108">
        <f>0.084*$C183</f>
        <v>277.27081200000003</v>
      </c>
      <c r="F183" s="108">
        <f>0.0303*$C183</f>
        <v>100.01554290000001</v>
      </c>
      <c r="G183" s="108">
        <f>0.0074*$C183</f>
        <v>24.426238200000004</v>
      </c>
      <c r="H183" s="108">
        <f>0.0073*$C183</f>
        <v>24.0961539</v>
      </c>
      <c r="I183" s="108">
        <f>0.0671*$C183</f>
        <v>221.48656530000005</v>
      </c>
      <c r="J183" s="108">
        <f>0.1788*$C183</f>
        <v>590.1907284</v>
      </c>
      <c r="K183" s="108">
        <f>0.009*$C183</f>
        <v>29.707587</v>
      </c>
    </row>
    <row r="184" spans="1:11" ht="30">
      <c r="A184" s="209"/>
      <c r="B184" s="116" t="s">
        <v>25</v>
      </c>
      <c r="C184" s="139">
        <v>4100.712</v>
      </c>
      <c r="D184" s="108">
        <f>0.088*$C184</f>
        <v>360.862656</v>
      </c>
      <c r="E184" s="108">
        <f>0.064*$C184</f>
        <v>262.44556800000004</v>
      </c>
      <c r="F184" s="108">
        <f>0.0367*$C184</f>
        <v>150.49613040000003</v>
      </c>
      <c r="G184" s="108">
        <f>0.014*$C184</f>
        <v>57.409968000000006</v>
      </c>
      <c r="H184" s="108">
        <f>0.011*$C184</f>
        <v>45.107832</v>
      </c>
      <c r="I184" s="108">
        <f>0.0472*$C184</f>
        <v>193.5536064</v>
      </c>
      <c r="J184" s="108">
        <f>0.0944*$C184</f>
        <v>387.1072128</v>
      </c>
      <c r="K184" s="108">
        <f>0.0071*$C184</f>
        <v>29.115055200000004</v>
      </c>
    </row>
    <row r="185" spans="1:11" ht="30">
      <c r="A185" s="209"/>
      <c r="B185" s="116" t="s">
        <v>26</v>
      </c>
      <c r="C185" s="139">
        <v>1357.272</v>
      </c>
      <c r="D185" s="108">
        <f>0.0689*$C185</f>
        <v>93.5160408</v>
      </c>
      <c r="E185" s="108">
        <f>0.084*$C185</f>
        <v>114.010848</v>
      </c>
      <c r="F185" s="108">
        <f>0.0303*$C185</f>
        <v>41.1253416</v>
      </c>
      <c r="G185" s="108">
        <f>0.0074*$C185</f>
        <v>10.0438128</v>
      </c>
      <c r="H185" s="108">
        <f>0.0073*$C185</f>
        <v>9.9080856</v>
      </c>
      <c r="I185" s="108">
        <f>0.0671*$C185</f>
        <v>91.0729512</v>
      </c>
      <c r="J185" s="108">
        <f>0.1788*$C185</f>
        <v>242.68023359999998</v>
      </c>
      <c r="K185" s="108">
        <f>0.009*$C185</f>
        <v>12.215447999999999</v>
      </c>
    </row>
    <row r="186" spans="1:11" ht="15">
      <c r="A186" s="209"/>
      <c r="B186" s="116" t="s">
        <v>27</v>
      </c>
      <c r="C186" s="139">
        <v>3426.0376499999998</v>
      </c>
      <c r="D186" s="108">
        <f>0.088*$C186</f>
        <v>301.4913132</v>
      </c>
      <c r="E186" s="108">
        <f>0.064*$C186</f>
        <v>219.2664096</v>
      </c>
      <c r="F186" s="108">
        <f>0.0367*$C186</f>
        <v>125.735581755</v>
      </c>
      <c r="G186" s="108">
        <f>0.014*$C186</f>
        <v>47.9645271</v>
      </c>
      <c r="H186" s="108">
        <f>0.011*$C186</f>
        <v>37.68641415</v>
      </c>
      <c r="I186" s="108">
        <f>0.0472*$C186</f>
        <v>161.70897707999998</v>
      </c>
      <c r="J186" s="108">
        <f>0.0944*$C186</f>
        <v>323.41795415999997</v>
      </c>
      <c r="K186" s="108">
        <f>0.0071*$C186</f>
        <v>24.324867315</v>
      </c>
    </row>
    <row r="187" spans="1:11" ht="15">
      <c r="A187" s="209"/>
      <c r="B187" s="116" t="s">
        <v>28</v>
      </c>
      <c r="C187" s="139">
        <v>1869.84</v>
      </c>
      <c r="D187" s="108">
        <f>0.0689*$C187</f>
        <v>128.831976</v>
      </c>
      <c r="E187" s="108">
        <f>0.084*$C187</f>
        <v>157.06656</v>
      </c>
      <c r="F187" s="108">
        <f>0.0303*$C187</f>
        <v>56.656152</v>
      </c>
      <c r="G187" s="108">
        <f>0.0074*$C187</f>
        <v>13.836816</v>
      </c>
      <c r="H187" s="108">
        <f>0.0073*$C187</f>
        <v>13.649832</v>
      </c>
      <c r="I187" s="108">
        <f>0.0671*$C187</f>
        <v>125.46626400000001</v>
      </c>
      <c r="J187" s="108">
        <f>0.1788*$C187</f>
        <v>334.327392</v>
      </c>
      <c r="K187" s="108">
        <f>0.009*$C187</f>
        <v>16.82856</v>
      </c>
    </row>
    <row r="188" spans="1:11" ht="15">
      <c r="A188" s="209"/>
      <c r="B188" s="116" t="s">
        <v>29</v>
      </c>
      <c r="C188" s="139">
        <v>2468.3715</v>
      </c>
      <c r="D188" s="108">
        <f>0.088*$C188</f>
        <v>217.216692</v>
      </c>
      <c r="E188" s="108">
        <f>0.064*$C188</f>
        <v>157.97577600000002</v>
      </c>
      <c r="F188" s="108">
        <f>0.0367*$C188</f>
        <v>90.58923405000002</v>
      </c>
      <c r="G188" s="108">
        <f>0.014*$C188</f>
        <v>34.557201000000006</v>
      </c>
      <c r="H188" s="108">
        <f>0.011*$C188</f>
        <v>27.1520865</v>
      </c>
      <c r="I188" s="108">
        <f>0.0472*$C188</f>
        <v>116.5071348</v>
      </c>
      <c r="J188" s="108">
        <f>0.0944*$C188</f>
        <v>233.0142696</v>
      </c>
      <c r="K188" s="108">
        <f>0.0071*$C188</f>
        <v>17.52543765</v>
      </c>
    </row>
    <row r="189" spans="1:11" ht="15">
      <c r="A189" s="209"/>
      <c r="B189" s="116" t="s">
        <v>30</v>
      </c>
      <c r="C189" s="139">
        <v>2271.0240000000003</v>
      </c>
      <c r="D189" s="108">
        <f>0.0689*$C189</f>
        <v>156.47355360000003</v>
      </c>
      <c r="E189" s="108">
        <f>0.084*$C189</f>
        <v>190.76601600000004</v>
      </c>
      <c r="F189" s="108">
        <f>0.0303*$C189</f>
        <v>68.81202720000002</v>
      </c>
      <c r="G189" s="108">
        <f>0.0074*$C189</f>
        <v>16.805577600000003</v>
      </c>
      <c r="H189" s="108">
        <f>0.0073*$C189</f>
        <v>16.578475200000003</v>
      </c>
      <c r="I189" s="108">
        <f>0.0671*$C189</f>
        <v>152.38571040000005</v>
      </c>
      <c r="J189" s="108">
        <f>0.1788*$C189</f>
        <v>406.0590912</v>
      </c>
      <c r="K189" s="108">
        <f>0.009*$C189</f>
        <v>20.439216000000002</v>
      </c>
    </row>
    <row r="190" spans="1:11" ht="15">
      <c r="A190" s="209"/>
      <c r="B190" s="116" t="s">
        <v>31</v>
      </c>
      <c r="C190" s="139">
        <v>11885.788949999998</v>
      </c>
      <c r="D190" s="108">
        <f>0.088*$C190</f>
        <v>1045.9494275999998</v>
      </c>
      <c r="E190" s="108">
        <f>0.064*$C190</f>
        <v>760.6904927999999</v>
      </c>
      <c r="F190" s="108">
        <f>0.0367*$C190</f>
        <v>436.208454465</v>
      </c>
      <c r="G190" s="108">
        <f>0.014*$C190</f>
        <v>166.4010453</v>
      </c>
      <c r="H190" s="108">
        <f>0.011*$C190</f>
        <v>130.74367844999998</v>
      </c>
      <c r="I190" s="108">
        <f>0.0472*$C190</f>
        <v>561.0092384399999</v>
      </c>
      <c r="J190" s="108">
        <f>0.0944*$C190</f>
        <v>1122.0184768799998</v>
      </c>
      <c r="K190" s="108">
        <f>0.0071*$C190</f>
        <v>84.38910154499999</v>
      </c>
    </row>
    <row r="191" spans="1:11" ht="15">
      <c r="A191" s="209"/>
      <c r="B191" s="116" t="s">
        <v>32</v>
      </c>
      <c r="C191" s="139">
        <v>2460.6330000000003</v>
      </c>
      <c r="D191" s="108">
        <f>0.0689*$C191</f>
        <v>169.53761370000004</v>
      </c>
      <c r="E191" s="108">
        <f>0.084*$C191</f>
        <v>206.69317200000003</v>
      </c>
      <c r="F191" s="108">
        <f>0.0303*$C191</f>
        <v>74.55717990000001</v>
      </c>
      <c r="G191" s="108">
        <f>0.0074*$C191</f>
        <v>18.208684200000004</v>
      </c>
      <c r="H191" s="108">
        <f>0.0073*$C191</f>
        <v>17.9626209</v>
      </c>
      <c r="I191" s="108">
        <f>0.0671*$C191</f>
        <v>165.10847430000004</v>
      </c>
      <c r="J191" s="108">
        <f>0.1788*$C191</f>
        <v>439.9611804</v>
      </c>
      <c r="K191" s="108">
        <f>0.009*$C191</f>
        <v>22.145697000000002</v>
      </c>
    </row>
    <row r="192" spans="1:11" ht="15">
      <c r="A192" s="190" t="s">
        <v>33</v>
      </c>
      <c r="B192" s="191"/>
      <c r="C192" s="139">
        <v>0</v>
      </c>
      <c r="D192" s="111"/>
      <c r="E192" s="109"/>
      <c r="F192" s="112"/>
      <c r="G192" s="111"/>
      <c r="H192" s="111"/>
      <c r="I192" s="131"/>
      <c r="J192" s="118"/>
      <c r="K192" s="140">
        <f>I192+J192</f>
        <v>0</v>
      </c>
    </row>
    <row r="193" spans="1:11" ht="15.75">
      <c r="A193" s="136"/>
      <c r="B193" s="107" t="s">
        <v>34</v>
      </c>
      <c r="C193" s="139">
        <v>6310.085250000001</v>
      </c>
      <c r="D193" s="108">
        <f>0.0689*$C193</f>
        <v>434.7648737250001</v>
      </c>
      <c r="E193" s="108">
        <f>0.084*$C193</f>
        <v>530.0471610000001</v>
      </c>
      <c r="F193" s="108">
        <f>0.0303*$C193</f>
        <v>191.19558307500003</v>
      </c>
      <c r="G193" s="108">
        <f>0.0074*$C193</f>
        <v>46.69463085000001</v>
      </c>
      <c r="H193" s="108">
        <f>0.0073*$C193</f>
        <v>46.063622325000004</v>
      </c>
      <c r="I193" s="108">
        <f>0.0671*$C193</f>
        <v>423.4067202750001</v>
      </c>
      <c r="J193" s="108">
        <f>0.1788*$C193</f>
        <v>1128.2432427</v>
      </c>
      <c r="K193" s="108">
        <f>0.009*$C193</f>
        <v>56.79076725</v>
      </c>
    </row>
    <row r="194" spans="1:11" ht="15.75">
      <c r="A194" s="136"/>
      <c r="B194" s="107" t="s">
        <v>35</v>
      </c>
      <c r="C194" s="139">
        <v>2729.1075</v>
      </c>
      <c r="D194" s="108">
        <f aca="true" t="shared" si="42" ref="D194:D199">0.0689*$C194</f>
        <v>188.03550675000002</v>
      </c>
      <c r="E194" s="108">
        <f aca="true" t="shared" si="43" ref="E194:E199">0.084*$C194</f>
        <v>229.24503</v>
      </c>
      <c r="F194" s="108">
        <f aca="true" t="shared" si="44" ref="F194:F199">0.0303*$C194</f>
        <v>82.69195725</v>
      </c>
      <c r="G194" s="108">
        <f aca="true" t="shared" si="45" ref="G194:G199">0.0074*$C194</f>
        <v>20.1953955</v>
      </c>
      <c r="H194" s="108">
        <f aca="true" t="shared" si="46" ref="H194:H199">0.0073*$C194</f>
        <v>19.922484750000002</v>
      </c>
      <c r="I194" s="108">
        <f aca="true" t="shared" si="47" ref="I194:I199">0.0671*$C194</f>
        <v>183.12311325000002</v>
      </c>
      <c r="J194" s="108">
        <f aca="true" t="shared" si="48" ref="J194:J199">0.1788*$C194</f>
        <v>487.96442099999996</v>
      </c>
      <c r="K194" s="108">
        <f aca="true" t="shared" si="49" ref="K194:K199">0.009*$C194</f>
        <v>24.561967499999998</v>
      </c>
    </row>
    <row r="195" spans="1:11" ht="15.75">
      <c r="A195" s="136"/>
      <c r="B195" s="107" t="s">
        <v>36</v>
      </c>
      <c r="C195" s="139">
        <v>1229.45025</v>
      </c>
      <c r="D195" s="108">
        <f t="shared" si="42"/>
        <v>84.70912222500002</v>
      </c>
      <c r="E195" s="108">
        <f t="shared" si="43"/>
        <v>103.27382100000001</v>
      </c>
      <c r="F195" s="108">
        <f t="shared" si="44"/>
        <v>37.252342575</v>
      </c>
      <c r="G195" s="108">
        <f t="shared" si="45"/>
        <v>9.097931850000002</v>
      </c>
      <c r="H195" s="108">
        <f t="shared" si="46"/>
        <v>8.974986825</v>
      </c>
      <c r="I195" s="108">
        <f t="shared" si="47"/>
        <v>82.49611177500002</v>
      </c>
      <c r="J195" s="108">
        <f t="shared" si="48"/>
        <v>219.8257047</v>
      </c>
      <c r="K195" s="108">
        <f t="shared" si="49"/>
        <v>11.06505225</v>
      </c>
    </row>
    <row r="196" spans="1:11" ht="15.75">
      <c r="A196" s="136"/>
      <c r="B196" s="107" t="s">
        <v>37</v>
      </c>
      <c r="C196" s="139">
        <v>3518.5815000000002</v>
      </c>
      <c r="D196" s="108">
        <f t="shared" si="42"/>
        <v>242.43026535</v>
      </c>
      <c r="E196" s="108">
        <f t="shared" si="43"/>
        <v>295.560846</v>
      </c>
      <c r="F196" s="108">
        <f t="shared" si="44"/>
        <v>106.61301945000001</v>
      </c>
      <c r="G196" s="108">
        <f t="shared" si="45"/>
        <v>26.037503100000002</v>
      </c>
      <c r="H196" s="108">
        <f t="shared" si="46"/>
        <v>25.68564495</v>
      </c>
      <c r="I196" s="108">
        <f t="shared" si="47"/>
        <v>236.09681865000005</v>
      </c>
      <c r="J196" s="108">
        <f t="shared" si="48"/>
        <v>629.1223722</v>
      </c>
      <c r="K196" s="108">
        <f t="shared" si="49"/>
        <v>31.6672335</v>
      </c>
    </row>
    <row r="197" spans="1:11" ht="15.75">
      <c r="A197" s="136"/>
      <c r="B197" s="107" t="s">
        <v>38</v>
      </c>
      <c r="C197" s="139">
        <v>2209.305</v>
      </c>
      <c r="D197" s="108">
        <f t="shared" si="42"/>
        <v>152.2211145</v>
      </c>
      <c r="E197" s="108">
        <f t="shared" si="43"/>
        <v>185.58162</v>
      </c>
      <c r="F197" s="108">
        <f t="shared" si="44"/>
        <v>66.9419415</v>
      </c>
      <c r="G197" s="108">
        <f t="shared" si="45"/>
        <v>16.348857</v>
      </c>
      <c r="H197" s="108">
        <f t="shared" si="46"/>
        <v>16.127926499999997</v>
      </c>
      <c r="I197" s="108">
        <f t="shared" si="47"/>
        <v>148.24436550000001</v>
      </c>
      <c r="J197" s="108">
        <f t="shared" si="48"/>
        <v>395.02373399999993</v>
      </c>
      <c r="K197" s="108">
        <f t="shared" si="49"/>
        <v>19.883744999999998</v>
      </c>
    </row>
    <row r="198" spans="1:11" ht="15.75">
      <c r="A198" s="136"/>
      <c r="B198" s="107" t="s">
        <v>39</v>
      </c>
      <c r="C198" s="139">
        <v>2746.8052500000003</v>
      </c>
      <c r="D198" s="108">
        <f t="shared" si="42"/>
        <v>189.25488172500002</v>
      </c>
      <c r="E198" s="108">
        <f t="shared" si="43"/>
        <v>230.73164100000005</v>
      </c>
      <c r="F198" s="108">
        <f t="shared" si="44"/>
        <v>83.228199075</v>
      </c>
      <c r="G198" s="108">
        <f t="shared" si="45"/>
        <v>20.326358850000002</v>
      </c>
      <c r="H198" s="108">
        <f t="shared" si="46"/>
        <v>20.051678325</v>
      </c>
      <c r="I198" s="108">
        <f t="shared" si="47"/>
        <v>184.31063227500005</v>
      </c>
      <c r="J198" s="108">
        <f t="shared" si="48"/>
        <v>491.1287787</v>
      </c>
      <c r="K198" s="108">
        <f t="shared" si="49"/>
        <v>24.72124725</v>
      </c>
    </row>
    <row r="199" spans="1:11" ht="30">
      <c r="A199" s="136"/>
      <c r="B199" s="120" t="s">
        <v>40</v>
      </c>
      <c r="C199" s="139">
        <v>5138.689500000001</v>
      </c>
      <c r="D199" s="108">
        <f t="shared" si="42"/>
        <v>354.0557065500001</v>
      </c>
      <c r="E199" s="108">
        <f t="shared" si="43"/>
        <v>431.6499180000001</v>
      </c>
      <c r="F199" s="108">
        <f t="shared" si="44"/>
        <v>155.70229185000005</v>
      </c>
      <c r="G199" s="108">
        <f t="shared" si="45"/>
        <v>38.02630230000001</v>
      </c>
      <c r="H199" s="108">
        <f t="shared" si="46"/>
        <v>37.51243335000001</v>
      </c>
      <c r="I199" s="108">
        <f t="shared" si="47"/>
        <v>344.8060654500001</v>
      </c>
      <c r="J199" s="108">
        <f t="shared" si="48"/>
        <v>918.7976826000001</v>
      </c>
      <c r="K199" s="108">
        <f t="shared" si="49"/>
        <v>46.24820550000001</v>
      </c>
    </row>
    <row r="200" spans="1:11" ht="15.75">
      <c r="A200" s="210" t="s">
        <v>114</v>
      </c>
      <c r="B200" s="211"/>
      <c r="C200" s="141">
        <v>90704.50515</v>
      </c>
      <c r="D200" s="142">
        <f>SUM(D173:D199)</f>
        <v>7208.111205225001</v>
      </c>
      <c r="E200" s="141">
        <f>SUM(E172:E199)</f>
        <v>6615.439374600001</v>
      </c>
      <c r="F200" s="141">
        <f>SUM(F173:F199)</f>
        <v>3069.5430046050005</v>
      </c>
      <c r="G200" s="141">
        <f>SUM(G173:G199)</f>
        <v>1002.44722725</v>
      </c>
      <c r="H200" s="141">
        <f>SUM(H173:H199)</f>
        <v>847.8346133249999</v>
      </c>
      <c r="I200" s="143">
        <f>SUM(I173:I199)</f>
        <v>5087.551932855002</v>
      </c>
      <c r="J200" s="141">
        <f>SUM(J173:J199)</f>
        <v>11982.18669606</v>
      </c>
      <c r="K200" s="141">
        <f>I200+J200</f>
        <v>17069.738628915</v>
      </c>
    </row>
    <row r="201" ht="12.75">
      <c r="J201" s="23"/>
    </row>
    <row r="202" spans="1:10" ht="15">
      <c r="A202" s="212" t="s">
        <v>246</v>
      </c>
      <c r="B202" s="212"/>
      <c r="C202" s="212"/>
      <c r="D202" s="212"/>
      <c r="E202" s="212"/>
      <c r="J202" s="23"/>
    </row>
    <row r="203" ht="12.75">
      <c r="J203" s="23"/>
    </row>
    <row r="204" spans="1:11" ht="141.75">
      <c r="A204" s="72" t="s">
        <v>158</v>
      </c>
      <c r="B204" s="135" t="s">
        <v>159</v>
      </c>
      <c r="C204" s="135" t="s">
        <v>247</v>
      </c>
      <c r="D204" s="135" t="s">
        <v>237</v>
      </c>
      <c r="E204" s="135" t="s">
        <v>248</v>
      </c>
      <c r="F204" s="135" t="s">
        <v>249</v>
      </c>
      <c r="G204" s="135" t="s">
        <v>250</v>
      </c>
      <c r="H204" s="135" t="s">
        <v>251</v>
      </c>
      <c r="I204" s="135" t="s">
        <v>252</v>
      </c>
      <c r="J204" s="135" t="s">
        <v>253</v>
      </c>
      <c r="K204" s="135" t="s">
        <v>254</v>
      </c>
    </row>
    <row r="205" spans="1:10" ht="15">
      <c r="A205" s="190" t="s">
        <v>13</v>
      </c>
      <c r="B205" s="192"/>
      <c r="C205" s="102"/>
      <c r="D205" s="102"/>
      <c r="E205" s="103"/>
      <c r="F205" s="103"/>
      <c r="G205" s="104"/>
      <c r="H205" s="104"/>
      <c r="I205" s="128"/>
      <c r="J205" s="104"/>
    </row>
    <row r="206" spans="1:11" ht="15">
      <c r="A206" s="111"/>
      <c r="B206" s="107" t="s">
        <v>14</v>
      </c>
      <c r="C206" s="108">
        <f>J6*0.5</f>
        <v>971.99472</v>
      </c>
      <c r="D206" s="108">
        <f>D173*0.5</f>
        <v>449.77779</v>
      </c>
      <c r="E206" s="108">
        <f>E173*0.5</f>
        <v>327.11112</v>
      </c>
      <c r="F206" s="108">
        <f>F173*0.5</f>
        <v>187.57778287500003</v>
      </c>
      <c r="G206" s="108">
        <f>G173*0.5</f>
        <v>71.5555575</v>
      </c>
      <c r="H206" s="108">
        <f>H173*0.5</f>
        <v>56.22222375</v>
      </c>
      <c r="I206" s="108">
        <f>I173*0.7</f>
        <v>337.7422314</v>
      </c>
      <c r="J206" s="108">
        <f>J173*0.6</f>
        <v>578.9866824</v>
      </c>
      <c r="K206" s="108">
        <f>K173*0.8</f>
        <v>58.062223800000005</v>
      </c>
    </row>
    <row r="207" spans="1:11" ht="15">
      <c r="A207" s="111"/>
      <c r="B207" s="107" t="s">
        <v>15</v>
      </c>
      <c r="C207" s="108">
        <f aca="true" t="shared" si="50" ref="C207:C232">J7*0.5</f>
        <v>386.01084</v>
      </c>
      <c r="D207" s="108">
        <f aca="true" t="shared" si="51" ref="D207:H222">D174*0.5</f>
        <v>169.87624499999998</v>
      </c>
      <c r="E207" s="108">
        <f t="shared" si="51"/>
        <v>123.54636</v>
      </c>
      <c r="F207" s="108">
        <f t="shared" si="51"/>
        <v>70.8461158125</v>
      </c>
      <c r="G207" s="108">
        <f t="shared" si="51"/>
        <v>27.02576625</v>
      </c>
      <c r="H207" s="108">
        <f t="shared" si="51"/>
        <v>21.234530624999998</v>
      </c>
      <c r="I207" s="108">
        <f aca="true" t="shared" si="52" ref="I207:I232">I174*0.7</f>
        <v>127.5616167</v>
      </c>
      <c r="J207" s="108">
        <f aca="true" t="shared" si="53" ref="J207:J232">J174*0.6</f>
        <v>218.6770572</v>
      </c>
      <c r="K207" s="108">
        <f aca="true" t="shared" si="54" ref="K207:K232">K174*0.8</f>
        <v>21.929478900000003</v>
      </c>
    </row>
    <row r="208" spans="1:11" ht="15">
      <c r="A208" s="190" t="s">
        <v>16</v>
      </c>
      <c r="B208" s="191"/>
      <c r="C208" s="108">
        <f t="shared" si="50"/>
        <v>0</v>
      </c>
      <c r="D208" s="108">
        <f t="shared" si="51"/>
        <v>0</v>
      </c>
      <c r="E208" s="108">
        <f t="shared" si="51"/>
        <v>0</v>
      </c>
      <c r="F208" s="108">
        <f t="shared" si="51"/>
        <v>0</v>
      </c>
      <c r="G208" s="108">
        <f t="shared" si="51"/>
        <v>0</v>
      </c>
      <c r="H208" s="108">
        <f t="shared" si="51"/>
        <v>0</v>
      </c>
      <c r="I208" s="108">
        <f t="shared" si="52"/>
        <v>0</v>
      </c>
      <c r="J208" s="108">
        <f t="shared" si="53"/>
        <v>0</v>
      </c>
      <c r="K208" s="108">
        <f t="shared" si="54"/>
        <v>0</v>
      </c>
    </row>
    <row r="209" spans="1:11" ht="15">
      <c r="A209" s="209"/>
      <c r="B209" s="116" t="s">
        <v>17</v>
      </c>
      <c r="C209" s="108">
        <f t="shared" si="50"/>
        <v>293.67228</v>
      </c>
      <c r="D209" s="108">
        <f t="shared" si="51"/>
        <v>114.5304468</v>
      </c>
      <c r="E209" s="108">
        <f t="shared" si="51"/>
        <v>83.29487040000002</v>
      </c>
      <c r="F209" s="108">
        <f t="shared" si="51"/>
        <v>47.764402245000014</v>
      </c>
      <c r="G209" s="108">
        <f t="shared" si="51"/>
        <v>18.220752900000004</v>
      </c>
      <c r="H209" s="108">
        <f t="shared" si="51"/>
        <v>14.31630585</v>
      </c>
      <c r="I209" s="108">
        <f t="shared" si="52"/>
        <v>86.00195368800001</v>
      </c>
      <c r="J209" s="108">
        <f t="shared" si="53"/>
        <v>147.431920608</v>
      </c>
      <c r="K209" s="108">
        <f t="shared" si="54"/>
        <v>14.784839496000004</v>
      </c>
    </row>
    <row r="210" spans="1:11" ht="15">
      <c r="A210" s="209"/>
      <c r="B210" s="116" t="s">
        <v>18</v>
      </c>
      <c r="C210" s="108">
        <f t="shared" si="50"/>
        <v>77.20465</v>
      </c>
      <c r="D210" s="108">
        <f t="shared" si="51"/>
        <v>47.895283800000016</v>
      </c>
      <c r="E210" s="108">
        <f t="shared" si="51"/>
        <v>58.391928000000014</v>
      </c>
      <c r="F210" s="108">
        <f t="shared" si="51"/>
        <v>21.062802600000005</v>
      </c>
      <c r="G210" s="108">
        <f t="shared" si="51"/>
        <v>5.144050800000001</v>
      </c>
      <c r="H210" s="108">
        <f t="shared" si="51"/>
        <v>5.074536600000001</v>
      </c>
      <c r="I210" s="108">
        <f t="shared" si="52"/>
        <v>65.30163948000002</v>
      </c>
      <c r="J210" s="108">
        <f t="shared" si="53"/>
        <v>149.14966752</v>
      </c>
      <c r="K210" s="108">
        <f t="shared" si="54"/>
        <v>10.010044800000003</v>
      </c>
    </row>
    <row r="211" spans="1:11" ht="15">
      <c r="A211" s="209"/>
      <c r="B211" s="116" t="s">
        <v>19</v>
      </c>
      <c r="C211" s="108">
        <f t="shared" si="50"/>
        <v>378.36288</v>
      </c>
      <c r="D211" s="108">
        <f t="shared" si="51"/>
        <v>142.736055</v>
      </c>
      <c r="E211" s="108">
        <f t="shared" si="51"/>
        <v>103.80804</v>
      </c>
      <c r="F211" s="108">
        <f t="shared" si="51"/>
        <v>59.52742293750001</v>
      </c>
      <c r="G211" s="108">
        <f t="shared" si="51"/>
        <v>22.70800875</v>
      </c>
      <c r="H211" s="108">
        <f t="shared" si="51"/>
        <v>17.842006875</v>
      </c>
      <c r="I211" s="108">
        <f t="shared" si="52"/>
        <v>107.1818013</v>
      </c>
      <c r="J211" s="108">
        <f t="shared" si="53"/>
        <v>183.7402308</v>
      </c>
      <c r="K211" s="108">
        <f t="shared" si="54"/>
        <v>18.425927100000003</v>
      </c>
    </row>
    <row r="212" spans="1:11" ht="15">
      <c r="A212" s="209"/>
      <c r="B212" s="116" t="s">
        <v>20</v>
      </c>
      <c r="C212" s="108">
        <f t="shared" si="50"/>
        <v>99.59921000000001</v>
      </c>
      <c r="D212" s="108">
        <f t="shared" si="51"/>
        <v>62.341133400000004</v>
      </c>
      <c r="E212" s="108">
        <f t="shared" si="51"/>
        <v>76.00370400000001</v>
      </c>
      <c r="F212" s="108">
        <f t="shared" si="51"/>
        <v>27.4156218</v>
      </c>
      <c r="G212" s="108">
        <f t="shared" si="51"/>
        <v>6.6955644</v>
      </c>
      <c r="H212" s="108">
        <f t="shared" si="51"/>
        <v>6.6050838</v>
      </c>
      <c r="I212" s="108">
        <f t="shared" si="52"/>
        <v>84.99747564</v>
      </c>
      <c r="J212" s="108">
        <f t="shared" si="53"/>
        <v>194.13517535999998</v>
      </c>
      <c r="K212" s="108">
        <f t="shared" si="54"/>
        <v>13.0292064</v>
      </c>
    </row>
    <row r="213" spans="1:11" ht="15">
      <c r="A213" s="209"/>
      <c r="B213" s="116" t="s">
        <v>21</v>
      </c>
      <c r="C213" s="108">
        <f t="shared" si="50"/>
        <v>284.28828</v>
      </c>
      <c r="D213" s="108">
        <f t="shared" si="51"/>
        <v>128.45979300000002</v>
      </c>
      <c r="E213" s="108">
        <f t="shared" si="51"/>
        <v>93.42530400000003</v>
      </c>
      <c r="F213" s="108">
        <f t="shared" si="51"/>
        <v>53.573572762500014</v>
      </c>
      <c r="G213" s="108">
        <f t="shared" si="51"/>
        <v>20.436785250000003</v>
      </c>
      <c r="H213" s="108">
        <f t="shared" si="51"/>
        <v>16.057474125000002</v>
      </c>
      <c r="I213" s="108">
        <f t="shared" si="52"/>
        <v>96.46162638000001</v>
      </c>
      <c r="J213" s="108">
        <f t="shared" si="53"/>
        <v>165.36278808000003</v>
      </c>
      <c r="K213" s="108">
        <f t="shared" si="54"/>
        <v>16.582991460000006</v>
      </c>
    </row>
    <row r="214" spans="1:11" ht="15">
      <c r="A214" s="209"/>
      <c r="B214" s="116" t="s">
        <v>22</v>
      </c>
      <c r="C214" s="108">
        <f t="shared" si="50"/>
        <v>120.99614</v>
      </c>
      <c r="D214" s="108">
        <f t="shared" si="51"/>
        <v>74.96388900000001</v>
      </c>
      <c r="E214" s="108">
        <f t="shared" si="51"/>
        <v>91.39284</v>
      </c>
      <c r="F214" s="108">
        <f t="shared" si="51"/>
        <v>32.966703</v>
      </c>
      <c r="G214" s="108">
        <f t="shared" si="51"/>
        <v>8.051274000000001</v>
      </c>
      <c r="H214" s="108">
        <f t="shared" si="51"/>
        <v>7.942473</v>
      </c>
      <c r="I214" s="108">
        <f t="shared" si="52"/>
        <v>102.2076594</v>
      </c>
      <c r="J214" s="108">
        <f t="shared" si="53"/>
        <v>233.44342559999996</v>
      </c>
      <c r="K214" s="108">
        <f t="shared" si="54"/>
        <v>15.667344</v>
      </c>
    </row>
    <row r="215" spans="1:11" ht="15">
      <c r="A215" s="209"/>
      <c r="B215" s="116" t="s">
        <v>23</v>
      </c>
      <c r="C215" s="108">
        <f t="shared" si="50"/>
        <v>557.8788</v>
      </c>
      <c r="D215" s="108">
        <f t="shared" si="51"/>
        <v>240.08555340000007</v>
      </c>
      <c r="E215" s="108">
        <f t="shared" si="51"/>
        <v>174.60767520000007</v>
      </c>
      <c r="F215" s="108">
        <f t="shared" si="51"/>
        <v>100.12658874750004</v>
      </c>
      <c r="G215" s="108">
        <f t="shared" si="51"/>
        <v>38.195428950000014</v>
      </c>
      <c r="H215" s="108">
        <f t="shared" si="51"/>
        <v>30.01069417500001</v>
      </c>
      <c r="I215" s="108">
        <f t="shared" si="52"/>
        <v>180.28242464400006</v>
      </c>
      <c r="J215" s="108">
        <f t="shared" si="53"/>
        <v>309.0555851040001</v>
      </c>
      <c r="K215" s="108">
        <f t="shared" si="54"/>
        <v>30.992862348000013</v>
      </c>
    </row>
    <row r="216" spans="1:11" ht="15">
      <c r="A216" s="209"/>
      <c r="B216" s="116" t="s">
        <v>24</v>
      </c>
      <c r="C216" s="108">
        <f t="shared" si="50"/>
        <v>164.46005</v>
      </c>
      <c r="D216" s="108">
        <f t="shared" si="51"/>
        <v>113.71404135000002</v>
      </c>
      <c r="E216" s="108">
        <f t="shared" si="51"/>
        <v>138.63540600000002</v>
      </c>
      <c r="F216" s="108">
        <f t="shared" si="51"/>
        <v>50.00777145000001</v>
      </c>
      <c r="G216" s="108">
        <f t="shared" si="51"/>
        <v>12.213119100000002</v>
      </c>
      <c r="H216" s="108">
        <f t="shared" si="51"/>
        <v>12.04807695</v>
      </c>
      <c r="I216" s="108">
        <f t="shared" si="52"/>
        <v>155.04059571000002</v>
      </c>
      <c r="J216" s="108">
        <f t="shared" si="53"/>
        <v>354.11443704</v>
      </c>
      <c r="K216" s="108">
        <f t="shared" si="54"/>
        <v>23.7660696</v>
      </c>
    </row>
    <row r="217" spans="1:11" ht="30">
      <c r="A217" s="209"/>
      <c r="B217" s="116" t="s">
        <v>25</v>
      </c>
      <c r="C217" s="108">
        <f t="shared" si="50"/>
        <v>442.36176000000006</v>
      </c>
      <c r="D217" s="108">
        <f t="shared" si="51"/>
        <v>180.431328</v>
      </c>
      <c r="E217" s="108">
        <f t="shared" si="51"/>
        <v>131.22278400000002</v>
      </c>
      <c r="F217" s="108">
        <f t="shared" si="51"/>
        <v>75.24806520000001</v>
      </c>
      <c r="G217" s="108">
        <f t="shared" si="51"/>
        <v>28.704984000000003</v>
      </c>
      <c r="H217" s="108">
        <f t="shared" si="51"/>
        <v>22.553916</v>
      </c>
      <c r="I217" s="108">
        <f t="shared" si="52"/>
        <v>135.48752448</v>
      </c>
      <c r="J217" s="108">
        <f t="shared" si="53"/>
        <v>232.26432768</v>
      </c>
      <c r="K217" s="108">
        <f t="shared" si="54"/>
        <v>23.292044160000003</v>
      </c>
    </row>
    <row r="218" spans="1:11" ht="30">
      <c r="A218" s="209"/>
      <c r="B218" s="116" t="s">
        <v>26</v>
      </c>
      <c r="C218" s="108">
        <f t="shared" si="50"/>
        <v>79.49771</v>
      </c>
      <c r="D218" s="108">
        <f t="shared" si="51"/>
        <v>46.7580204</v>
      </c>
      <c r="E218" s="108">
        <f t="shared" si="51"/>
        <v>57.005424</v>
      </c>
      <c r="F218" s="108">
        <f t="shared" si="51"/>
        <v>20.5626708</v>
      </c>
      <c r="G218" s="108">
        <f t="shared" si="51"/>
        <v>5.0219064</v>
      </c>
      <c r="H218" s="108">
        <f t="shared" si="51"/>
        <v>4.9540428</v>
      </c>
      <c r="I218" s="108">
        <f t="shared" si="52"/>
        <v>63.75106584</v>
      </c>
      <c r="J218" s="108">
        <f t="shared" si="53"/>
        <v>145.60814015999998</v>
      </c>
      <c r="K218" s="108">
        <f t="shared" si="54"/>
        <v>9.7723584</v>
      </c>
    </row>
    <row r="219" spans="1:11" ht="15">
      <c r="A219" s="209"/>
      <c r="B219" s="116" t="s">
        <v>27</v>
      </c>
      <c r="C219" s="108">
        <f t="shared" si="50"/>
        <v>357.9996</v>
      </c>
      <c r="D219" s="108">
        <f t="shared" si="51"/>
        <v>150.7456566</v>
      </c>
      <c r="E219" s="108">
        <f t="shared" si="51"/>
        <v>109.6332048</v>
      </c>
      <c r="F219" s="108">
        <f t="shared" si="51"/>
        <v>62.8677908775</v>
      </c>
      <c r="G219" s="108">
        <f t="shared" si="51"/>
        <v>23.98226355</v>
      </c>
      <c r="H219" s="108">
        <f t="shared" si="51"/>
        <v>18.843207075</v>
      </c>
      <c r="I219" s="108">
        <f t="shared" si="52"/>
        <v>113.19628395599997</v>
      </c>
      <c r="J219" s="108">
        <f t="shared" si="53"/>
        <v>194.05077249599998</v>
      </c>
      <c r="K219" s="108">
        <f t="shared" si="54"/>
        <v>19.459893852</v>
      </c>
    </row>
    <row r="220" spans="1:11" ht="15">
      <c r="A220" s="209"/>
      <c r="B220" s="116" t="s">
        <v>28</v>
      </c>
      <c r="C220" s="108">
        <f t="shared" si="50"/>
        <v>98.98872</v>
      </c>
      <c r="D220" s="108">
        <f t="shared" si="51"/>
        <v>64.415988</v>
      </c>
      <c r="E220" s="108">
        <f t="shared" si="51"/>
        <v>78.53328</v>
      </c>
      <c r="F220" s="108">
        <f t="shared" si="51"/>
        <v>28.328076</v>
      </c>
      <c r="G220" s="108">
        <f t="shared" si="51"/>
        <v>6.918408</v>
      </c>
      <c r="H220" s="108">
        <f t="shared" si="51"/>
        <v>6.824916</v>
      </c>
      <c r="I220" s="108">
        <f t="shared" si="52"/>
        <v>87.8263848</v>
      </c>
      <c r="J220" s="108">
        <f t="shared" si="53"/>
        <v>200.59643519999997</v>
      </c>
      <c r="K220" s="108">
        <f t="shared" si="54"/>
        <v>13.462848000000001</v>
      </c>
    </row>
    <row r="221" spans="1:11" ht="15">
      <c r="A221" s="209"/>
      <c r="B221" s="116" t="s">
        <v>29</v>
      </c>
      <c r="C221" s="108">
        <f t="shared" si="50"/>
        <v>221.79083999999997</v>
      </c>
      <c r="D221" s="108">
        <f t="shared" si="51"/>
        <v>108.608346</v>
      </c>
      <c r="E221" s="108">
        <f t="shared" si="51"/>
        <v>78.98788800000001</v>
      </c>
      <c r="F221" s="108">
        <f t="shared" si="51"/>
        <v>45.29461702500001</v>
      </c>
      <c r="G221" s="108">
        <f t="shared" si="51"/>
        <v>17.278600500000003</v>
      </c>
      <c r="H221" s="108">
        <f t="shared" si="51"/>
        <v>13.57604325</v>
      </c>
      <c r="I221" s="108">
        <f t="shared" si="52"/>
        <v>81.55499436</v>
      </c>
      <c r="J221" s="108">
        <f t="shared" si="53"/>
        <v>139.80856176</v>
      </c>
      <c r="K221" s="108">
        <f t="shared" si="54"/>
        <v>14.020350120000002</v>
      </c>
    </row>
    <row r="222" spans="1:11" ht="15">
      <c r="A222" s="209"/>
      <c r="B222" s="116" t="s">
        <v>30</v>
      </c>
      <c r="C222" s="108">
        <f t="shared" si="50"/>
        <v>121.41306000000002</v>
      </c>
      <c r="D222" s="108">
        <f t="shared" si="51"/>
        <v>78.23677680000002</v>
      </c>
      <c r="E222" s="108">
        <f t="shared" si="51"/>
        <v>95.38300800000002</v>
      </c>
      <c r="F222" s="108">
        <f t="shared" si="51"/>
        <v>34.40601360000001</v>
      </c>
      <c r="G222" s="108">
        <f t="shared" si="51"/>
        <v>8.402788800000002</v>
      </c>
      <c r="H222" s="108">
        <f t="shared" si="51"/>
        <v>8.289237600000002</v>
      </c>
      <c r="I222" s="108">
        <f t="shared" si="52"/>
        <v>106.66999728000003</v>
      </c>
      <c r="J222" s="108">
        <f t="shared" si="53"/>
        <v>243.63545471999998</v>
      </c>
      <c r="K222" s="108">
        <f t="shared" si="54"/>
        <v>16.351372800000004</v>
      </c>
    </row>
    <row r="223" spans="1:11" ht="15">
      <c r="A223" s="209"/>
      <c r="B223" s="116" t="s">
        <v>31</v>
      </c>
      <c r="C223" s="108">
        <f t="shared" si="50"/>
        <v>1235.0751599999999</v>
      </c>
      <c r="D223" s="108">
        <f aca="true" t="shared" si="55" ref="D223:H232">D190*0.5</f>
        <v>522.9747137999999</v>
      </c>
      <c r="E223" s="108">
        <f t="shared" si="55"/>
        <v>380.34524639999995</v>
      </c>
      <c r="F223" s="108">
        <f t="shared" si="55"/>
        <v>218.1042272325</v>
      </c>
      <c r="G223" s="108">
        <f t="shared" si="55"/>
        <v>83.20052265</v>
      </c>
      <c r="H223" s="108">
        <f t="shared" si="55"/>
        <v>65.37183922499999</v>
      </c>
      <c r="I223" s="108">
        <f t="shared" si="52"/>
        <v>392.70646690799987</v>
      </c>
      <c r="J223" s="108">
        <f t="shared" si="53"/>
        <v>673.2110861279998</v>
      </c>
      <c r="K223" s="108">
        <f t="shared" si="54"/>
        <v>67.51128123599999</v>
      </c>
    </row>
    <row r="224" spans="1:11" ht="15">
      <c r="A224" s="209"/>
      <c r="B224" s="116" t="s">
        <v>32</v>
      </c>
      <c r="C224" s="108">
        <f t="shared" si="50"/>
        <v>149.47095000000002</v>
      </c>
      <c r="D224" s="108">
        <f t="shared" si="55"/>
        <v>84.76880685000002</v>
      </c>
      <c r="E224" s="108">
        <f t="shared" si="55"/>
        <v>103.34658600000002</v>
      </c>
      <c r="F224" s="108">
        <f t="shared" si="55"/>
        <v>37.278589950000004</v>
      </c>
      <c r="G224" s="108">
        <f t="shared" si="55"/>
        <v>9.104342100000002</v>
      </c>
      <c r="H224" s="108">
        <f t="shared" si="55"/>
        <v>8.98131045</v>
      </c>
      <c r="I224" s="108">
        <f t="shared" si="52"/>
        <v>115.57593201000002</v>
      </c>
      <c r="J224" s="108">
        <f t="shared" si="53"/>
        <v>263.97670824</v>
      </c>
      <c r="K224" s="108">
        <f t="shared" si="54"/>
        <v>17.7165576</v>
      </c>
    </row>
    <row r="225" spans="1:11" ht="15">
      <c r="A225" s="190" t="s">
        <v>33</v>
      </c>
      <c r="B225" s="191"/>
      <c r="C225" s="108">
        <f t="shared" si="50"/>
        <v>0</v>
      </c>
      <c r="D225" s="108">
        <f t="shared" si="55"/>
        <v>0</v>
      </c>
      <c r="E225" s="108">
        <f t="shared" si="55"/>
        <v>0</v>
      </c>
      <c r="F225" s="108">
        <f t="shared" si="55"/>
        <v>0</v>
      </c>
      <c r="G225" s="108">
        <f t="shared" si="55"/>
        <v>0</v>
      </c>
      <c r="H225" s="108">
        <f t="shared" si="55"/>
        <v>0</v>
      </c>
      <c r="I225" s="108">
        <f t="shared" si="52"/>
        <v>0</v>
      </c>
      <c r="J225" s="108">
        <f t="shared" si="53"/>
        <v>0</v>
      </c>
      <c r="K225" s="108">
        <f t="shared" si="54"/>
        <v>0</v>
      </c>
    </row>
    <row r="226" spans="1:11" ht="15.75">
      <c r="A226" s="136"/>
      <c r="B226" s="107" t="s">
        <v>34</v>
      </c>
      <c r="C226" s="108">
        <f t="shared" si="50"/>
        <v>289.86363000000006</v>
      </c>
      <c r="D226" s="108">
        <f t="shared" si="55"/>
        <v>217.38243686250004</v>
      </c>
      <c r="E226" s="108">
        <f t="shared" si="55"/>
        <v>265.02358050000004</v>
      </c>
      <c r="F226" s="108">
        <f t="shared" si="55"/>
        <v>95.59779153750002</v>
      </c>
      <c r="G226" s="108">
        <f t="shared" si="55"/>
        <v>23.347315425000005</v>
      </c>
      <c r="H226" s="108">
        <f t="shared" si="55"/>
        <v>23.031811162500002</v>
      </c>
      <c r="I226" s="108">
        <f t="shared" si="52"/>
        <v>296.38470419250007</v>
      </c>
      <c r="J226" s="108">
        <f t="shared" si="53"/>
        <v>676.9459456200001</v>
      </c>
      <c r="K226" s="108">
        <f t="shared" si="54"/>
        <v>45.432613800000006</v>
      </c>
    </row>
    <row r="227" spans="1:11" ht="15.75">
      <c r="A227" s="136"/>
      <c r="B227" s="107" t="s">
        <v>35</v>
      </c>
      <c r="C227" s="108">
        <f t="shared" si="50"/>
        <v>134.76939000000002</v>
      </c>
      <c r="D227" s="108">
        <f t="shared" si="55"/>
        <v>94.01775337500001</v>
      </c>
      <c r="E227" s="108">
        <f t="shared" si="55"/>
        <v>114.622515</v>
      </c>
      <c r="F227" s="108">
        <f t="shared" si="55"/>
        <v>41.345978625</v>
      </c>
      <c r="G227" s="108">
        <f t="shared" si="55"/>
        <v>10.09769775</v>
      </c>
      <c r="H227" s="108">
        <f t="shared" si="55"/>
        <v>9.961242375000001</v>
      </c>
      <c r="I227" s="108">
        <f t="shared" si="52"/>
        <v>128.186179275</v>
      </c>
      <c r="J227" s="108">
        <f t="shared" si="53"/>
        <v>292.7786526</v>
      </c>
      <c r="K227" s="108">
        <f t="shared" si="54"/>
        <v>19.649574</v>
      </c>
    </row>
    <row r="228" spans="1:11" ht="15.75">
      <c r="A228" s="136"/>
      <c r="B228" s="107" t="s">
        <v>36</v>
      </c>
      <c r="C228" s="108">
        <f t="shared" si="50"/>
        <v>62.61245000000001</v>
      </c>
      <c r="D228" s="108">
        <f t="shared" si="55"/>
        <v>42.35456111250001</v>
      </c>
      <c r="E228" s="108">
        <f t="shared" si="55"/>
        <v>51.636910500000006</v>
      </c>
      <c r="F228" s="108">
        <f t="shared" si="55"/>
        <v>18.6261712875</v>
      </c>
      <c r="G228" s="108">
        <f t="shared" si="55"/>
        <v>4.548965925000001</v>
      </c>
      <c r="H228" s="108">
        <f t="shared" si="55"/>
        <v>4.4874934125</v>
      </c>
      <c r="I228" s="108">
        <f t="shared" si="52"/>
        <v>57.74727824250001</v>
      </c>
      <c r="J228" s="108">
        <f t="shared" si="53"/>
        <v>131.89542282</v>
      </c>
      <c r="K228" s="108">
        <f t="shared" si="54"/>
        <v>8.8520418</v>
      </c>
    </row>
    <row r="229" spans="1:11" ht="15.75">
      <c r="A229" s="136"/>
      <c r="B229" s="107" t="s">
        <v>37</v>
      </c>
      <c r="C229" s="108">
        <f t="shared" si="50"/>
        <v>156.37478000000002</v>
      </c>
      <c r="D229" s="108">
        <f t="shared" si="55"/>
        <v>121.215132675</v>
      </c>
      <c r="E229" s="108">
        <f t="shared" si="55"/>
        <v>147.780423</v>
      </c>
      <c r="F229" s="108">
        <f t="shared" si="55"/>
        <v>53.306509725000005</v>
      </c>
      <c r="G229" s="108">
        <f t="shared" si="55"/>
        <v>13.018751550000001</v>
      </c>
      <c r="H229" s="108">
        <f t="shared" si="55"/>
        <v>12.842822475</v>
      </c>
      <c r="I229" s="108">
        <f t="shared" si="52"/>
        <v>165.26777305500002</v>
      </c>
      <c r="J229" s="108">
        <f t="shared" si="53"/>
        <v>377.47342332</v>
      </c>
      <c r="K229" s="108">
        <f t="shared" si="54"/>
        <v>25.3337868</v>
      </c>
    </row>
    <row r="230" spans="1:11" ht="15.75">
      <c r="A230" s="136"/>
      <c r="B230" s="107" t="s">
        <v>38</v>
      </c>
      <c r="C230" s="108">
        <f t="shared" si="50"/>
        <v>102.88990000000001</v>
      </c>
      <c r="D230" s="108">
        <f t="shared" si="55"/>
        <v>76.11055725</v>
      </c>
      <c r="E230" s="108">
        <f t="shared" si="55"/>
        <v>92.79081</v>
      </c>
      <c r="F230" s="108">
        <f t="shared" si="55"/>
        <v>33.47097075</v>
      </c>
      <c r="G230" s="108">
        <f t="shared" si="55"/>
        <v>8.1744285</v>
      </c>
      <c r="H230" s="108">
        <f t="shared" si="55"/>
        <v>8.063963249999999</v>
      </c>
      <c r="I230" s="108">
        <f t="shared" si="52"/>
        <v>103.77105585000001</v>
      </c>
      <c r="J230" s="108">
        <f t="shared" si="53"/>
        <v>237.01424039999995</v>
      </c>
      <c r="K230" s="108">
        <f t="shared" si="54"/>
        <v>15.906996</v>
      </c>
    </row>
    <row r="231" spans="1:11" ht="15.75">
      <c r="A231" s="136"/>
      <c r="B231" s="107" t="s">
        <v>39</v>
      </c>
      <c r="C231" s="108">
        <f t="shared" si="50"/>
        <v>121.84487000000001</v>
      </c>
      <c r="D231" s="108">
        <f t="shared" si="55"/>
        <v>94.62744086250001</v>
      </c>
      <c r="E231" s="108">
        <f t="shared" si="55"/>
        <v>115.36582050000003</v>
      </c>
      <c r="F231" s="108">
        <f t="shared" si="55"/>
        <v>41.6140995375</v>
      </c>
      <c r="G231" s="108">
        <f t="shared" si="55"/>
        <v>10.163179425000001</v>
      </c>
      <c r="H231" s="108">
        <f t="shared" si="55"/>
        <v>10.0258391625</v>
      </c>
      <c r="I231" s="108">
        <f t="shared" si="52"/>
        <v>129.01744259250003</v>
      </c>
      <c r="J231" s="108">
        <f t="shared" si="53"/>
        <v>294.67726722</v>
      </c>
      <c r="K231" s="108">
        <f t="shared" si="54"/>
        <v>19.776997800000004</v>
      </c>
    </row>
    <row r="232" spans="1:11" ht="30">
      <c r="A232" s="136"/>
      <c r="B232" s="120" t="s">
        <v>40</v>
      </c>
      <c r="C232" s="108">
        <f t="shared" si="50"/>
        <v>200.86610000000002</v>
      </c>
      <c r="D232" s="108">
        <f t="shared" si="55"/>
        <v>177.02785327500004</v>
      </c>
      <c r="E232" s="108">
        <f t="shared" si="55"/>
        <v>215.82495900000006</v>
      </c>
      <c r="F232" s="108">
        <f t="shared" si="55"/>
        <v>77.85114592500003</v>
      </c>
      <c r="G232" s="108">
        <f t="shared" si="55"/>
        <v>19.013151150000006</v>
      </c>
      <c r="H232" s="108">
        <f t="shared" si="55"/>
        <v>18.756216675000005</v>
      </c>
      <c r="I232" s="108">
        <f t="shared" si="52"/>
        <v>241.36424581500006</v>
      </c>
      <c r="J232" s="108">
        <f t="shared" si="53"/>
        <v>551.2786095600001</v>
      </c>
      <c r="K232" s="108">
        <f t="shared" si="54"/>
        <v>36.998564400000014</v>
      </c>
    </row>
    <row r="233" spans="1:11" ht="15.75">
      <c r="A233" s="210" t="s">
        <v>114</v>
      </c>
      <c r="B233" s="211"/>
      <c r="C233" s="137">
        <f aca="true" t="shared" si="56" ref="C233:K233">SUM(C206:C232)</f>
        <v>7110.28677</v>
      </c>
      <c r="D233" s="145">
        <f t="shared" si="56"/>
        <v>3604.0556026125005</v>
      </c>
      <c r="E233" s="145">
        <f t="shared" si="56"/>
        <v>3307.7196873000007</v>
      </c>
      <c r="F233" s="145">
        <f t="shared" si="56"/>
        <v>1534.7715023025003</v>
      </c>
      <c r="G233" s="145">
        <f t="shared" si="56"/>
        <v>501.223613625</v>
      </c>
      <c r="H233" s="145">
        <f t="shared" si="56"/>
        <v>423.9173066624999</v>
      </c>
      <c r="I233" s="145">
        <f t="shared" si="56"/>
        <v>3561.2863529985</v>
      </c>
      <c r="J233" s="145">
        <f t="shared" si="56"/>
        <v>7189.312017635999</v>
      </c>
      <c r="K233" s="145">
        <f t="shared" si="56"/>
        <v>576.788268672</v>
      </c>
    </row>
    <row r="234" ht="12.75">
      <c r="J234" s="23"/>
    </row>
  </sheetData>
  <mergeCells count="92">
    <mergeCell ref="L1:L3"/>
    <mergeCell ref="A5:B5"/>
    <mergeCell ref="A8:C8"/>
    <mergeCell ref="A9:A10"/>
    <mergeCell ref="A33:C33"/>
    <mergeCell ref="A36:E36"/>
    <mergeCell ref="A39:B39"/>
    <mergeCell ref="I1:I3"/>
    <mergeCell ref="A166:B166"/>
    <mergeCell ref="A169:E169"/>
    <mergeCell ref="A172:B172"/>
    <mergeCell ref="A158:B158"/>
    <mergeCell ref="A11:A12"/>
    <mergeCell ref="A13:A14"/>
    <mergeCell ref="A15:A16"/>
    <mergeCell ref="A17:A18"/>
    <mergeCell ref="A19:A20"/>
    <mergeCell ref="A21:A22"/>
    <mergeCell ref="A23:A24"/>
    <mergeCell ref="A25:C25"/>
    <mergeCell ref="A42:B42"/>
    <mergeCell ref="A43:A44"/>
    <mergeCell ref="A45:A46"/>
    <mergeCell ref="A47:A48"/>
    <mergeCell ref="A49:A50"/>
    <mergeCell ref="A51:A52"/>
    <mergeCell ref="A53:A54"/>
    <mergeCell ref="A55:A56"/>
    <mergeCell ref="A57:A58"/>
    <mergeCell ref="A59:B59"/>
    <mergeCell ref="A67:B67"/>
    <mergeCell ref="A69:F69"/>
    <mergeCell ref="A72:B72"/>
    <mergeCell ref="A75:B75"/>
    <mergeCell ref="A76:A77"/>
    <mergeCell ref="A78:A79"/>
    <mergeCell ref="A80:A81"/>
    <mergeCell ref="A82:A83"/>
    <mergeCell ref="A84:A85"/>
    <mergeCell ref="A86:A87"/>
    <mergeCell ref="A88:A89"/>
    <mergeCell ref="A90:A91"/>
    <mergeCell ref="A92:B92"/>
    <mergeCell ref="A100:B100"/>
    <mergeCell ref="A102:E102"/>
    <mergeCell ref="A105:B105"/>
    <mergeCell ref="A108:B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B125"/>
    <mergeCell ref="A133:B133"/>
    <mergeCell ref="A135:E135"/>
    <mergeCell ref="A138:B138"/>
    <mergeCell ref="A141:B141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75:B175"/>
    <mergeCell ref="A176:A177"/>
    <mergeCell ref="A178:A179"/>
    <mergeCell ref="A180:A181"/>
    <mergeCell ref="A182:A183"/>
    <mergeCell ref="A184:A185"/>
    <mergeCell ref="A186:A187"/>
    <mergeCell ref="A188:A189"/>
    <mergeCell ref="A190:A191"/>
    <mergeCell ref="A192:B192"/>
    <mergeCell ref="A200:B200"/>
    <mergeCell ref="A202:E202"/>
    <mergeCell ref="A205:B205"/>
    <mergeCell ref="A208:B208"/>
    <mergeCell ref="A209:A210"/>
    <mergeCell ref="A211:A212"/>
    <mergeCell ref="A213:A214"/>
    <mergeCell ref="A215:A216"/>
    <mergeCell ref="A217:A218"/>
    <mergeCell ref="A219:A220"/>
    <mergeCell ref="A221:A222"/>
    <mergeCell ref="A223:A224"/>
    <mergeCell ref="A225:B225"/>
    <mergeCell ref="A233:B23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S29"/>
  <sheetViews>
    <sheetView workbookViewId="0" topLeftCell="A1">
      <selection activeCell="A1" sqref="A1"/>
    </sheetView>
  </sheetViews>
  <sheetFormatPr defaultColWidth="9.00390625" defaultRowHeight="12.75"/>
  <cols>
    <col min="2" max="2" width="21.875" style="0" customWidth="1"/>
    <col min="3" max="3" width="21.375" style="0" customWidth="1"/>
    <col min="4" max="4" width="18.375" style="0" customWidth="1"/>
    <col min="5" max="5" width="18.125" style="0" customWidth="1"/>
    <col min="6" max="6" width="16.625" style="0" customWidth="1"/>
    <col min="7" max="7" width="18.625" style="0" customWidth="1"/>
    <col min="8" max="8" width="13.375" style="0" customWidth="1"/>
    <col min="9" max="9" width="13.75390625" style="0" customWidth="1"/>
    <col min="10" max="10" width="12.375" style="0" customWidth="1"/>
    <col min="11" max="11" width="18.00390625" style="0" customWidth="1"/>
    <col min="12" max="12" width="17.75390625" style="0" customWidth="1"/>
    <col min="13" max="13" width="13.625" style="0" customWidth="1"/>
    <col min="14" max="14" width="12.75390625" style="0" customWidth="1"/>
    <col min="15" max="15" width="17.75390625" style="0" customWidth="1"/>
    <col min="16" max="16" width="21.375" style="0" customWidth="1"/>
    <col min="17" max="17" width="18.375" style="0" customWidth="1"/>
    <col min="18" max="18" width="18.125" style="0" customWidth="1"/>
    <col min="19" max="19" width="12.625" style="0" customWidth="1"/>
  </cols>
  <sheetData>
    <row r="2" spans="2:6" ht="15">
      <c r="B2" s="221" t="s">
        <v>165</v>
      </c>
      <c r="C2" s="221"/>
      <c r="D2" s="221"/>
      <c r="E2" s="221"/>
      <c r="F2" s="221"/>
    </row>
    <row r="3" ht="12.75">
      <c r="B3" s="8"/>
    </row>
    <row r="4" spans="2:19" ht="44.25" customHeight="1">
      <c r="B4" s="62" t="s">
        <v>166</v>
      </c>
      <c r="C4" s="63" t="s">
        <v>167</v>
      </c>
      <c r="D4" s="64"/>
      <c r="E4" s="64"/>
      <c r="F4" s="64"/>
      <c r="G4" s="65"/>
      <c r="H4" s="66" t="s">
        <v>168</v>
      </c>
      <c r="I4" s="66"/>
      <c r="J4" s="66"/>
      <c r="K4" s="66"/>
      <c r="L4" s="66" t="s">
        <v>169</v>
      </c>
      <c r="M4" s="66"/>
      <c r="N4" s="66"/>
      <c r="O4" s="66"/>
      <c r="P4" s="66" t="s">
        <v>170</v>
      </c>
      <c r="Q4" s="66"/>
      <c r="R4" s="66"/>
      <c r="S4" s="66"/>
    </row>
    <row r="5" spans="2:19" ht="156.75" customHeight="1">
      <c r="B5" s="67"/>
      <c r="C5" s="62" t="s">
        <v>171</v>
      </c>
      <c r="D5" s="62" t="s">
        <v>172</v>
      </c>
      <c r="E5" s="68" t="s">
        <v>173</v>
      </c>
      <c r="F5" s="68" t="s">
        <v>174</v>
      </c>
      <c r="G5" s="62" t="s">
        <v>5</v>
      </c>
      <c r="H5" s="62" t="s">
        <v>171</v>
      </c>
      <c r="I5" s="62" t="s">
        <v>175</v>
      </c>
      <c r="J5" s="69" t="s">
        <v>176</v>
      </c>
      <c r="K5" s="69" t="s">
        <v>177</v>
      </c>
      <c r="L5" s="62" t="s">
        <v>171</v>
      </c>
      <c r="M5" s="62" t="s">
        <v>175</v>
      </c>
      <c r="N5" s="69" t="s">
        <v>178</v>
      </c>
      <c r="O5" s="69" t="s">
        <v>177</v>
      </c>
      <c r="P5" s="62" t="s">
        <v>171</v>
      </c>
      <c r="Q5" s="62" t="s">
        <v>175</v>
      </c>
      <c r="R5" s="69" t="s">
        <v>179</v>
      </c>
      <c r="S5" s="69" t="s">
        <v>177</v>
      </c>
    </row>
    <row r="6" spans="2:19" ht="15.75">
      <c r="B6" s="70"/>
      <c r="C6" s="70"/>
      <c r="D6" s="70"/>
      <c r="E6" s="71" t="s">
        <v>180</v>
      </c>
      <c r="F6" s="71" t="s">
        <v>180</v>
      </c>
      <c r="G6" s="70"/>
      <c r="H6" s="70"/>
      <c r="I6" s="70"/>
      <c r="J6" s="72" t="s">
        <v>180</v>
      </c>
      <c r="K6" s="73" t="s">
        <v>181</v>
      </c>
      <c r="L6" s="70"/>
      <c r="M6" s="70"/>
      <c r="N6" s="72" t="s">
        <v>180</v>
      </c>
      <c r="O6" s="73" t="s">
        <v>181</v>
      </c>
      <c r="P6" s="70"/>
      <c r="Q6" s="70"/>
      <c r="R6" s="72" t="s">
        <v>180</v>
      </c>
      <c r="S6" s="73" t="s">
        <v>181</v>
      </c>
    </row>
    <row r="7" spans="2:19" ht="111" customHeight="1">
      <c r="B7" s="72" t="s">
        <v>182</v>
      </c>
      <c r="C7" s="74">
        <v>2923</v>
      </c>
      <c r="D7" s="75">
        <v>353.15</v>
      </c>
      <c r="E7" s="75">
        <v>322.6</v>
      </c>
      <c r="F7" s="76">
        <f>D7+E7</f>
        <v>675.75</v>
      </c>
      <c r="G7" s="76">
        <f>F7/C7*100</f>
        <v>23.118371536093054</v>
      </c>
      <c r="H7" s="77">
        <v>2953</v>
      </c>
      <c r="I7" s="77">
        <v>22</v>
      </c>
      <c r="J7" s="77">
        <v>649.5</v>
      </c>
      <c r="K7" s="78">
        <v>0</v>
      </c>
      <c r="L7" s="77">
        <v>3040</v>
      </c>
      <c r="M7" s="77">
        <v>30</v>
      </c>
      <c r="N7" s="77">
        <v>912</v>
      </c>
      <c r="O7" s="79">
        <f>(((N7-F7)*50/1.5)/52)/0.8-K7</f>
        <v>189.30288461538458</v>
      </c>
      <c r="P7" s="77">
        <v>3070</v>
      </c>
      <c r="Q7" s="77">
        <v>50</v>
      </c>
      <c r="R7" s="77">
        <v>1534</v>
      </c>
      <c r="S7" s="79">
        <f>(((R7-F7)*50/1.5)/52)/0.8-O7-K7</f>
        <v>498.39743589743586</v>
      </c>
    </row>
    <row r="8" spans="2:19" ht="63">
      <c r="B8" s="72" t="s">
        <v>183</v>
      </c>
      <c r="C8" s="74">
        <v>6864.8</v>
      </c>
      <c r="D8" s="75">
        <v>287.463</v>
      </c>
      <c r="E8" s="75">
        <v>294.4</v>
      </c>
      <c r="F8" s="76">
        <f>D8+E8</f>
        <v>581.863</v>
      </c>
      <c r="G8" s="76">
        <f>F8/C8*100</f>
        <v>8.476037175154412</v>
      </c>
      <c r="H8" s="77">
        <v>6933.5</v>
      </c>
      <c r="I8" s="77">
        <v>45</v>
      </c>
      <c r="J8" s="77">
        <v>3120</v>
      </c>
      <c r="K8" s="79">
        <f>(((J8-F8)*5/1.5)/26)/0.8</f>
        <v>406.75272435897426</v>
      </c>
      <c r="L8" s="77">
        <v>7139</v>
      </c>
      <c r="M8" s="77">
        <v>50</v>
      </c>
      <c r="N8" s="77">
        <v>3570</v>
      </c>
      <c r="O8" s="79">
        <f>(((N8-F8)*5/1.5)/26)/0.8-K8</f>
        <v>72.11538461538464</v>
      </c>
      <c r="P8" s="77">
        <v>7208</v>
      </c>
      <c r="Q8" s="77">
        <v>50</v>
      </c>
      <c r="R8" s="77">
        <v>3604</v>
      </c>
      <c r="S8" s="79">
        <f>(((R8-F8)*5/1.5)/26)/0.8-O8-K8</f>
        <v>5.448717948717956</v>
      </c>
    </row>
    <row r="9" spans="2:19" ht="47.25">
      <c r="B9" s="72" t="s">
        <v>184</v>
      </c>
      <c r="C9" s="74">
        <v>6415</v>
      </c>
      <c r="D9" s="75">
        <v>970.885</v>
      </c>
      <c r="E9" s="75">
        <v>1000.181</v>
      </c>
      <c r="F9" s="76">
        <v>1973</v>
      </c>
      <c r="G9" s="76">
        <v>30.756040530007795</v>
      </c>
      <c r="H9" s="77">
        <v>6363</v>
      </c>
      <c r="I9" s="77">
        <v>35</v>
      </c>
      <c r="J9" s="77">
        <v>2227</v>
      </c>
      <c r="K9" s="79">
        <f>(((J9-F9)*1.5/1.5)/26)/0.8</f>
        <v>12.211538461538462</v>
      </c>
      <c r="L9" s="77">
        <v>6552</v>
      </c>
      <c r="M9" s="77">
        <v>45</v>
      </c>
      <c r="N9" s="77">
        <v>2949</v>
      </c>
      <c r="O9" s="79">
        <f>(((N9-F9)*1.5/1.5)/26)/0.8-K9</f>
        <v>34.71153846153846</v>
      </c>
      <c r="P9" s="77">
        <v>6615</v>
      </c>
      <c r="Q9" s="77">
        <v>50</v>
      </c>
      <c r="R9" s="77">
        <v>3307</v>
      </c>
      <c r="S9" s="79">
        <f>(((R9-F9)*1.5/1.5)/26)/0.8-O9-K9</f>
        <v>17.211538461538453</v>
      </c>
    </row>
    <row r="10" spans="2:19" ht="47.25">
      <c r="B10" s="72" t="s">
        <v>185</v>
      </c>
      <c r="C10" s="77">
        <v>886</v>
      </c>
      <c r="D10" s="222" t="s">
        <v>186</v>
      </c>
      <c r="E10" s="223"/>
      <c r="F10" s="223"/>
      <c r="G10" s="224"/>
      <c r="H10" s="77">
        <v>964</v>
      </c>
      <c r="I10" s="77">
        <v>35</v>
      </c>
      <c r="J10" s="80">
        <v>337.5</v>
      </c>
      <c r="K10" s="79">
        <f>(((J10-F10)*12/1.5)/26)/0.8</f>
        <v>129.8076923076923</v>
      </c>
      <c r="L10" s="77">
        <v>993</v>
      </c>
      <c r="M10" s="77">
        <v>45</v>
      </c>
      <c r="N10" s="77">
        <v>447</v>
      </c>
      <c r="O10" s="79">
        <f>(((N10-F10)*12/1.5)/26)/0.8-K10</f>
        <v>42.11538461538464</v>
      </c>
      <c r="P10" s="77">
        <v>1002</v>
      </c>
      <c r="Q10" s="77">
        <v>50</v>
      </c>
      <c r="R10" s="77">
        <v>501</v>
      </c>
      <c r="S10" s="79">
        <f>(((R10-F10)*12/1.5)/26)/0.8-O10-K10</f>
        <v>20.769230769230745</v>
      </c>
    </row>
    <row r="11" spans="2:19" ht="63">
      <c r="B11" s="72" t="s">
        <v>187</v>
      </c>
      <c r="C11" s="77">
        <v>749</v>
      </c>
      <c r="D11" s="222" t="s">
        <v>186</v>
      </c>
      <c r="E11" s="223"/>
      <c r="F11" s="223"/>
      <c r="G11" s="224"/>
      <c r="H11" s="77">
        <v>816</v>
      </c>
      <c r="I11" s="77">
        <v>20</v>
      </c>
      <c r="J11" s="77">
        <v>163.11</v>
      </c>
      <c r="K11" s="79">
        <f>(((J11-F11)*4/1.5)/26)/0.8</f>
        <v>20.911538461538463</v>
      </c>
      <c r="L11" s="77">
        <v>840</v>
      </c>
      <c r="M11" s="77">
        <v>30</v>
      </c>
      <c r="N11" s="77">
        <v>252</v>
      </c>
      <c r="O11" s="79">
        <f>(((N11-F11)*4/1.5)/26)/0.8-K11</f>
        <v>11.396153846153844</v>
      </c>
      <c r="P11" s="77">
        <v>848</v>
      </c>
      <c r="Q11" s="77">
        <v>50</v>
      </c>
      <c r="R11" s="77">
        <v>423</v>
      </c>
      <c r="S11" s="79">
        <f>(((R11-F11)*4/1.5)/26)/0.8-O11-K11</f>
        <v>21.923076923076927</v>
      </c>
    </row>
    <row r="12" spans="2:19" ht="47.25">
      <c r="B12" s="72" t="s">
        <v>188</v>
      </c>
      <c r="C12" s="77">
        <v>4485</v>
      </c>
      <c r="D12" s="222" t="s">
        <v>186</v>
      </c>
      <c r="E12" s="223"/>
      <c r="F12" s="223"/>
      <c r="G12" s="224"/>
      <c r="H12" s="77">
        <v>4893.7</v>
      </c>
      <c r="I12" s="77">
        <v>26</v>
      </c>
      <c r="J12" s="77">
        <v>1272</v>
      </c>
      <c r="K12" s="225" t="s">
        <v>189</v>
      </c>
      <c r="L12" s="77">
        <v>5039</v>
      </c>
      <c r="M12" s="77">
        <v>50</v>
      </c>
      <c r="N12" s="77">
        <v>2520</v>
      </c>
      <c r="O12" s="225" t="s">
        <v>189</v>
      </c>
      <c r="P12" s="77">
        <v>5088</v>
      </c>
      <c r="Q12" s="77">
        <v>70</v>
      </c>
      <c r="R12" s="77">
        <v>3561</v>
      </c>
      <c r="S12" s="225" t="s">
        <v>189</v>
      </c>
    </row>
    <row r="13" spans="2:19" ht="31.5">
      <c r="B13" s="72" t="s">
        <v>190</v>
      </c>
      <c r="C13" s="77">
        <v>10554</v>
      </c>
      <c r="D13" s="222" t="s">
        <v>186</v>
      </c>
      <c r="E13" s="223"/>
      <c r="F13" s="223"/>
      <c r="G13" s="224"/>
      <c r="H13" s="82">
        <v>11525</v>
      </c>
      <c r="I13" s="82">
        <v>20</v>
      </c>
      <c r="J13" s="77">
        <v>2305</v>
      </c>
      <c r="K13" s="225"/>
      <c r="L13" s="77">
        <v>11868</v>
      </c>
      <c r="M13" s="77">
        <v>40</v>
      </c>
      <c r="N13" s="77">
        <v>4747</v>
      </c>
      <c r="O13" s="225"/>
      <c r="P13" s="77">
        <v>11982</v>
      </c>
      <c r="Q13" s="77">
        <v>60</v>
      </c>
      <c r="R13" s="77">
        <v>7189</v>
      </c>
      <c r="S13" s="225"/>
    </row>
    <row r="14" spans="2:19" ht="47.25">
      <c r="B14" s="72" t="s">
        <v>191</v>
      </c>
      <c r="C14" s="77">
        <v>15039</v>
      </c>
      <c r="D14" s="222" t="s">
        <v>186</v>
      </c>
      <c r="E14" s="223"/>
      <c r="F14" s="223"/>
      <c r="G14" s="224"/>
      <c r="H14" s="77">
        <v>16419</v>
      </c>
      <c r="I14" s="77">
        <v>22</v>
      </c>
      <c r="J14" s="77">
        <v>152</v>
      </c>
      <c r="K14" s="79">
        <f>(((J14-F14)*5/0.5)/26)/0.8</f>
        <v>73.07692307692307</v>
      </c>
      <c r="L14" s="77">
        <v>16907</v>
      </c>
      <c r="M14" s="77">
        <v>50</v>
      </c>
      <c r="N14" s="77">
        <v>357</v>
      </c>
      <c r="O14" s="79">
        <f>(((N14-F14)*5/0.5)/26)/0.8-K14</f>
        <v>98.55769230769232</v>
      </c>
      <c r="P14" s="77">
        <v>17070</v>
      </c>
      <c r="Q14" s="77">
        <v>80</v>
      </c>
      <c r="R14" s="77">
        <v>577</v>
      </c>
      <c r="S14" s="79">
        <f>(((R14-F14)*5/0.5)/26)/0.8-O14-K14</f>
        <v>105.76923076923075</v>
      </c>
    </row>
    <row r="15" spans="2:19" ht="47.25">
      <c r="B15" s="72" t="s">
        <v>192</v>
      </c>
      <c r="C15" s="77" t="s">
        <v>154</v>
      </c>
      <c r="D15" s="222" t="s">
        <v>186</v>
      </c>
      <c r="E15" s="223"/>
      <c r="F15" s="223"/>
      <c r="G15" s="224"/>
      <c r="H15" s="77"/>
      <c r="I15" s="77">
        <v>17</v>
      </c>
      <c r="J15" s="77">
        <v>2417</v>
      </c>
      <c r="K15" s="226" t="s">
        <v>193</v>
      </c>
      <c r="L15" s="227"/>
      <c r="M15" s="77">
        <v>25</v>
      </c>
      <c r="N15" s="77">
        <v>3555</v>
      </c>
      <c r="O15" s="81" t="s">
        <v>154</v>
      </c>
      <c r="P15" s="81" t="s">
        <v>154</v>
      </c>
      <c r="Q15" s="77">
        <v>50</v>
      </c>
      <c r="R15" s="77">
        <v>7110</v>
      </c>
      <c r="S15" s="81" t="s">
        <v>154</v>
      </c>
    </row>
    <row r="17" spans="2:5" ht="15.75">
      <c r="B17" s="228" t="s">
        <v>194</v>
      </c>
      <c r="C17" s="228"/>
      <c r="D17" s="228"/>
      <c r="E17" s="228"/>
    </row>
    <row r="18" spans="2:5" ht="15">
      <c r="B18" s="229" t="s">
        <v>195</v>
      </c>
      <c r="C18" s="229"/>
      <c r="D18" s="229"/>
      <c r="E18" s="229"/>
    </row>
    <row r="19" spans="2:5" ht="15">
      <c r="B19" s="229" t="s">
        <v>196</v>
      </c>
      <c r="C19" s="229"/>
      <c r="D19" s="229"/>
      <c r="E19" s="229"/>
    </row>
    <row r="20" spans="2:5" ht="15">
      <c r="B20" s="229" t="s">
        <v>197</v>
      </c>
      <c r="C20" s="229"/>
      <c r="D20" s="229"/>
      <c r="E20" s="229"/>
    </row>
    <row r="21" spans="2:5" ht="15">
      <c r="B21" s="229" t="s">
        <v>198</v>
      </c>
      <c r="C21" s="229"/>
      <c r="D21" s="229"/>
      <c r="E21" s="229"/>
    </row>
    <row r="22" spans="2:5" ht="15">
      <c r="B22" s="229" t="s">
        <v>199</v>
      </c>
      <c r="C22" s="229"/>
      <c r="D22" s="229"/>
      <c r="E22" s="229"/>
    </row>
    <row r="23" spans="2:5" ht="15">
      <c r="B23" s="229" t="s">
        <v>200</v>
      </c>
      <c r="C23" s="229"/>
      <c r="D23" s="229"/>
      <c r="E23" s="229"/>
    </row>
    <row r="24" spans="2:5" ht="15">
      <c r="B24" s="229" t="s">
        <v>201</v>
      </c>
      <c r="C24" s="229"/>
      <c r="D24" s="229"/>
      <c r="E24" s="229"/>
    </row>
    <row r="25" spans="2:5" ht="15">
      <c r="B25" s="229" t="s">
        <v>202</v>
      </c>
      <c r="C25" s="229"/>
      <c r="D25" s="229"/>
      <c r="E25" s="229"/>
    </row>
    <row r="26" spans="2:5" ht="15">
      <c r="B26" s="229" t="s">
        <v>203</v>
      </c>
      <c r="C26" s="229"/>
      <c r="D26" s="229"/>
      <c r="E26" s="229"/>
    </row>
    <row r="27" spans="2:5" ht="15">
      <c r="B27" s="229" t="s">
        <v>204</v>
      </c>
      <c r="C27" s="229"/>
      <c r="D27" s="229"/>
      <c r="E27" s="229"/>
    </row>
    <row r="28" spans="2:5" ht="15">
      <c r="B28" s="229" t="s">
        <v>205</v>
      </c>
      <c r="C28" s="229"/>
      <c r="D28" s="229"/>
      <c r="E28" s="229"/>
    </row>
    <row r="29" spans="2:5" ht="15">
      <c r="B29" s="229" t="s">
        <v>206</v>
      </c>
      <c r="C29" s="229"/>
      <c r="D29" s="229"/>
      <c r="E29" s="229"/>
    </row>
  </sheetData>
  <mergeCells count="24">
    <mergeCell ref="B26:E26"/>
    <mergeCell ref="B27:E27"/>
    <mergeCell ref="B28:E28"/>
    <mergeCell ref="B29:E29"/>
    <mergeCell ref="B22:E22"/>
    <mergeCell ref="B23:E23"/>
    <mergeCell ref="B24:E24"/>
    <mergeCell ref="B25:E25"/>
    <mergeCell ref="B18:E18"/>
    <mergeCell ref="B19:E19"/>
    <mergeCell ref="B20:E20"/>
    <mergeCell ref="B21:E21"/>
    <mergeCell ref="D14:G14"/>
    <mergeCell ref="D15:G15"/>
    <mergeCell ref="K15:L15"/>
    <mergeCell ref="B17:E17"/>
    <mergeCell ref="K12:K13"/>
    <mergeCell ref="O12:O13"/>
    <mergeCell ref="S12:S13"/>
    <mergeCell ref="D13:G13"/>
    <mergeCell ref="B2:F2"/>
    <mergeCell ref="D10:G10"/>
    <mergeCell ref="D11:G11"/>
    <mergeCell ref="D12:G1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49"/>
  <sheetViews>
    <sheetView tabSelected="1" workbookViewId="0" topLeftCell="A1">
      <selection activeCell="C6" sqref="C6:C23"/>
    </sheetView>
  </sheetViews>
  <sheetFormatPr defaultColWidth="9.00390625" defaultRowHeight="12.75"/>
  <cols>
    <col min="1" max="1" width="12.00390625" style="0" customWidth="1"/>
    <col min="2" max="2" width="15.375" style="0" customWidth="1"/>
    <col min="3" max="3" width="16.125" style="0" customWidth="1"/>
    <col min="4" max="4" width="20.125" style="0" customWidth="1"/>
    <col min="5" max="5" width="16.75390625" style="0" customWidth="1"/>
    <col min="6" max="6" width="16.25390625" style="0" customWidth="1"/>
    <col min="7" max="7" width="23.875" style="0" customWidth="1"/>
    <col min="8" max="8" width="17.375" style="0" customWidth="1"/>
    <col min="9" max="9" width="17.125" style="0" customWidth="1"/>
    <col min="10" max="10" width="22.25390625" style="0" customWidth="1"/>
    <col min="11" max="11" width="17.875" style="0" customWidth="1"/>
    <col min="12" max="12" width="17.00390625" style="0" customWidth="1"/>
    <col min="13" max="13" width="16.00390625" style="0" customWidth="1"/>
    <col min="14" max="14" width="15.875" style="0" customWidth="1"/>
    <col min="15" max="15" width="18.875" style="0" customWidth="1"/>
    <col min="16" max="16" width="15.75390625" style="0" customWidth="1"/>
  </cols>
  <sheetData>
    <row r="1" spans="1:16" ht="20.25">
      <c r="A1" s="230" t="s">
        <v>288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</row>
    <row r="3" spans="1:16" ht="15.75">
      <c r="A3" s="231" t="s">
        <v>289</v>
      </c>
      <c r="B3" s="232" t="s">
        <v>290</v>
      </c>
      <c r="C3" s="231" t="s">
        <v>291</v>
      </c>
      <c r="D3" s="231" t="s">
        <v>2</v>
      </c>
      <c r="E3" s="232" t="s">
        <v>292</v>
      </c>
      <c r="F3" s="233" t="s">
        <v>293</v>
      </c>
      <c r="G3" s="234"/>
      <c r="H3" s="234"/>
      <c r="I3" s="234"/>
      <c r="J3" s="234"/>
      <c r="K3" s="234"/>
      <c r="L3" s="234"/>
      <c r="M3" s="234"/>
      <c r="N3" s="234"/>
      <c r="O3" s="234"/>
      <c r="P3" s="235"/>
    </row>
    <row r="4" spans="1:16" ht="15.75">
      <c r="A4" s="231"/>
      <c r="B4" s="236"/>
      <c r="C4" s="231"/>
      <c r="D4" s="231"/>
      <c r="E4" s="236"/>
      <c r="F4" s="69">
        <v>2004</v>
      </c>
      <c r="G4" s="69">
        <v>2005</v>
      </c>
      <c r="H4" s="69">
        <v>2006</v>
      </c>
      <c r="I4" s="69">
        <v>2007</v>
      </c>
      <c r="J4" s="69">
        <v>2008</v>
      </c>
      <c r="K4" s="69">
        <v>2009</v>
      </c>
      <c r="L4" s="69">
        <v>2010</v>
      </c>
      <c r="M4" s="69">
        <v>2011</v>
      </c>
      <c r="N4" s="69">
        <v>2012</v>
      </c>
      <c r="O4" s="69">
        <v>2013</v>
      </c>
      <c r="P4" s="69">
        <v>2014</v>
      </c>
    </row>
    <row r="5" spans="1:16" ht="38.25">
      <c r="A5" s="69">
        <v>1</v>
      </c>
      <c r="B5" s="237" t="s">
        <v>294</v>
      </c>
      <c r="C5" s="238" t="s">
        <v>295</v>
      </c>
      <c r="D5" s="239" t="s">
        <v>296</v>
      </c>
      <c r="E5" s="240" t="s">
        <v>297</v>
      </c>
      <c r="F5" s="241">
        <v>100000</v>
      </c>
      <c r="G5" s="241">
        <v>80000</v>
      </c>
      <c r="H5" s="241">
        <v>60000</v>
      </c>
      <c r="I5" s="241">
        <v>60000</v>
      </c>
      <c r="J5" s="241">
        <v>60000</v>
      </c>
      <c r="K5" s="241">
        <v>60000</v>
      </c>
      <c r="L5" s="241">
        <v>60000</v>
      </c>
      <c r="M5" s="241">
        <v>60000</v>
      </c>
      <c r="N5" s="241">
        <v>60000</v>
      </c>
      <c r="O5" s="241">
        <v>60000</v>
      </c>
      <c r="P5" s="241">
        <v>60000</v>
      </c>
    </row>
    <row r="6" spans="1:18" ht="25.5">
      <c r="A6" s="242">
        <v>2</v>
      </c>
      <c r="B6" s="242" t="s">
        <v>298</v>
      </c>
      <c r="C6" s="242" t="s">
        <v>299</v>
      </c>
      <c r="D6" s="14" t="s">
        <v>300</v>
      </c>
      <c r="E6" s="172" t="s">
        <v>301</v>
      </c>
      <c r="F6" s="243"/>
      <c r="G6" s="244">
        <v>0</v>
      </c>
      <c r="H6" s="243"/>
      <c r="I6" s="243"/>
      <c r="J6" s="243"/>
      <c r="K6" s="243"/>
      <c r="L6" s="245"/>
      <c r="M6" s="244">
        <v>0</v>
      </c>
      <c r="N6" s="243"/>
      <c r="O6" s="243"/>
      <c r="P6" s="246"/>
      <c r="Q6" s="247"/>
      <c r="R6" s="247"/>
    </row>
    <row r="7" spans="1:18" ht="38.25">
      <c r="A7" s="242"/>
      <c r="B7" s="242"/>
      <c r="C7" s="242"/>
      <c r="D7" s="14" t="s">
        <v>302</v>
      </c>
      <c r="E7" s="177"/>
      <c r="F7" s="243"/>
      <c r="G7" s="244">
        <v>14400</v>
      </c>
      <c r="H7" s="243"/>
      <c r="I7" s="243"/>
      <c r="J7" s="243"/>
      <c r="K7" s="243"/>
      <c r="L7" s="245"/>
      <c r="M7" s="244">
        <v>14400</v>
      </c>
      <c r="N7" s="243"/>
      <c r="O7" s="243"/>
      <c r="P7" s="246"/>
      <c r="Q7" s="247"/>
      <c r="R7" s="247"/>
    </row>
    <row r="8" spans="1:18" ht="25.5">
      <c r="A8" s="242"/>
      <c r="B8" s="242"/>
      <c r="C8" s="242"/>
      <c r="D8" s="14" t="s">
        <v>303</v>
      </c>
      <c r="E8" s="177"/>
      <c r="F8" s="243"/>
      <c r="G8" s="244">
        <v>2800</v>
      </c>
      <c r="H8" s="243"/>
      <c r="I8" s="243"/>
      <c r="J8" s="243"/>
      <c r="K8" s="243"/>
      <c r="L8" s="245"/>
      <c r="M8" s="244">
        <v>2800</v>
      </c>
      <c r="N8" s="243"/>
      <c r="O8" s="243"/>
      <c r="P8" s="246"/>
      <c r="Q8" s="247"/>
      <c r="R8" s="247"/>
    </row>
    <row r="9" spans="1:18" ht="38.25">
      <c r="A9" s="242"/>
      <c r="B9" s="242"/>
      <c r="C9" s="242"/>
      <c r="D9" s="14" t="s">
        <v>304</v>
      </c>
      <c r="E9" s="177"/>
      <c r="F9" s="243"/>
      <c r="G9" s="244">
        <v>2800</v>
      </c>
      <c r="H9" s="243"/>
      <c r="I9" s="243"/>
      <c r="J9" s="243"/>
      <c r="K9" s="243"/>
      <c r="L9" s="245"/>
      <c r="M9" s="244">
        <v>2800</v>
      </c>
      <c r="N9" s="243"/>
      <c r="O9" s="243"/>
      <c r="P9" s="246"/>
      <c r="Q9" s="247"/>
      <c r="R9" s="247"/>
    </row>
    <row r="10" spans="1:18" ht="38.25">
      <c r="A10" s="242"/>
      <c r="B10" s="242"/>
      <c r="C10" s="242"/>
      <c r="D10" s="14" t="s">
        <v>305</v>
      </c>
      <c r="E10" s="177"/>
      <c r="F10" s="243"/>
      <c r="G10" s="244">
        <v>2000</v>
      </c>
      <c r="H10" s="243"/>
      <c r="I10" s="243"/>
      <c r="J10" s="243"/>
      <c r="K10" s="243"/>
      <c r="L10" s="245"/>
      <c r="M10" s="244">
        <v>2000</v>
      </c>
      <c r="N10" s="243"/>
      <c r="O10" s="243"/>
      <c r="P10" s="246"/>
      <c r="Q10" s="247"/>
      <c r="R10" s="247"/>
    </row>
    <row r="11" spans="1:18" ht="25.5">
      <c r="A11" s="242"/>
      <c r="B11" s="242"/>
      <c r="C11" s="242"/>
      <c r="D11" s="14" t="s">
        <v>306</v>
      </c>
      <c r="E11" s="177"/>
      <c r="F11" s="243"/>
      <c r="G11" s="244">
        <v>5600</v>
      </c>
      <c r="H11" s="243"/>
      <c r="I11" s="243"/>
      <c r="J11" s="243"/>
      <c r="K11" s="243"/>
      <c r="L11" s="245"/>
      <c r="M11" s="244">
        <v>5600</v>
      </c>
      <c r="N11" s="243"/>
      <c r="O11" s="243"/>
      <c r="P11" s="246"/>
      <c r="Q11" s="247"/>
      <c r="R11" s="247"/>
    </row>
    <row r="12" spans="1:18" ht="25.5">
      <c r="A12" s="242"/>
      <c r="B12" s="242"/>
      <c r="C12" s="242"/>
      <c r="D12" s="14" t="s">
        <v>307</v>
      </c>
      <c r="E12" s="177"/>
      <c r="F12" s="243"/>
      <c r="G12" s="244">
        <v>8000</v>
      </c>
      <c r="H12" s="243"/>
      <c r="I12" s="243"/>
      <c r="J12" s="243"/>
      <c r="K12" s="243"/>
      <c r="L12" s="245"/>
      <c r="M12" s="244">
        <v>8000</v>
      </c>
      <c r="N12" s="243"/>
      <c r="O12" s="243"/>
      <c r="P12" s="246"/>
      <c r="Q12" s="247"/>
      <c r="R12" s="247"/>
    </row>
    <row r="13" spans="1:18" ht="25.5">
      <c r="A13" s="242"/>
      <c r="B13" s="242"/>
      <c r="C13" s="242"/>
      <c r="D13" s="14" t="s">
        <v>308</v>
      </c>
      <c r="E13" s="177"/>
      <c r="F13" s="243"/>
      <c r="G13" s="244">
        <v>2300</v>
      </c>
      <c r="H13" s="243"/>
      <c r="I13" s="243"/>
      <c r="J13" s="243"/>
      <c r="K13" s="243"/>
      <c r="L13" s="245"/>
      <c r="M13" s="244">
        <v>2300</v>
      </c>
      <c r="N13" s="243"/>
      <c r="O13" s="243"/>
      <c r="P13" s="246"/>
      <c r="Q13" s="247"/>
      <c r="R13" s="247"/>
    </row>
    <row r="14" spans="1:18" ht="25.5">
      <c r="A14" s="242"/>
      <c r="B14" s="242"/>
      <c r="C14" s="242"/>
      <c r="D14" s="14" t="s">
        <v>309</v>
      </c>
      <c r="E14" s="177"/>
      <c r="F14" s="243"/>
      <c r="G14" s="244">
        <v>6600</v>
      </c>
      <c r="H14" s="243"/>
      <c r="I14" s="243"/>
      <c r="J14" s="243"/>
      <c r="K14" s="243"/>
      <c r="L14" s="245"/>
      <c r="M14" s="244">
        <v>6600</v>
      </c>
      <c r="N14" s="243"/>
      <c r="O14" s="243"/>
      <c r="P14" s="246"/>
      <c r="Q14" s="247"/>
      <c r="R14" s="247"/>
    </row>
    <row r="15" spans="1:18" ht="51">
      <c r="A15" s="242"/>
      <c r="B15" s="242"/>
      <c r="C15" s="242"/>
      <c r="D15" s="14" t="s">
        <v>310</v>
      </c>
      <c r="E15" s="177"/>
      <c r="F15" s="243"/>
      <c r="G15" s="244">
        <v>11400</v>
      </c>
      <c r="H15" s="243"/>
      <c r="I15" s="243"/>
      <c r="J15" s="243"/>
      <c r="K15" s="243"/>
      <c r="L15" s="245"/>
      <c r="M15" s="244">
        <v>11400</v>
      </c>
      <c r="N15" s="243"/>
      <c r="O15" s="243"/>
      <c r="P15" s="246"/>
      <c r="Q15" s="247"/>
      <c r="R15" s="247"/>
    </row>
    <row r="16" spans="1:18" ht="38.25">
      <c r="A16" s="242"/>
      <c r="B16" s="242"/>
      <c r="C16" s="242"/>
      <c r="D16" s="14" t="s">
        <v>311</v>
      </c>
      <c r="E16" s="177"/>
      <c r="F16" s="243"/>
      <c r="G16" s="244">
        <v>13400</v>
      </c>
      <c r="H16" s="243"/>
      <c r="I16" s="243"/>
      <c r="J16" s="243"/>
      <c r="K16" s="243"/>
      <c r="L16" s="245"/>
      <c r="M16" s="244">
        <v>13400</v>
      </c>
      <c r="N16" s="243"/>
      <c r="O16" s="243"/>
      <c r="P16" s="246"/>
      <c r="Q16" s="247"/>
      <c r="R16" s="247"/>
    </row>
    <row r="17" spans="1:18" ht="38.25">
      <c r="A17" s="242"/>
      <c r="B17" s="242"/>
      <c r="C17" s="242"/>
      <c r="D17" s="14" t="s">
        <v>312</v>
      </c>
      <c r="E17" s="177"/>
      <c r="F17" s="243"/>
      <c r="G17" s="244">
        <v>0</v>
      </c>
      <c r="H17" s="243"/>
      <c r="I17" s="243"/>
      <c r="J17" s="243"/>
      <c r="K17" s="243"/>
      <c r="L17" s="245"/>
      <c r="M17" s="244">
        <v>0</v>
      </c>
      <c r="N17" s="243"/>
      <c r="O17" s="243"/>
      <c r="P17" s="246"/>
      <c r="Q17" s="247"/>
      <c r="R17" s="247"/>
    </row>
    <row r="18" spans="1:18" ht="38.25">
      <c r="A18" s="242"/>
      <c r="B18" s="242"/>
      <c r="C18" s="242"/>
      <c r="D18" s="14" t="s">
        <v>313</v>
      </c>
      <c r="E18" s="177"/>
      <c r="F18" s="243"/>
      <c r="G18" s="248">
        <v>4800</v>
      </c>
      <c r="H18" s="243"/>
      <c r="I18" s="243"/>
      <c r="J18" s="243"/>
      <c r="K18" s="243"/>
      <c r="L18" s="245"/>
      <c r="M18" s="248">
        <v>4800</v>
      </c>
      <c r="N18" s="243"/>
      <c r="O18" s="243"/>
      <c r="P18" s="246"/>
      <c r="Q18" s="247"/>
      <c r="R18" s="247"/>
    </row>
    <row r="19" spans="1:18" ht="25.5">
      <c r="A19" s="242"/>
      <c r="B19" s="242"/>
      <c r="C19" s="242"/>
      <c r="D19" s="14" t="s">
        <v>314</v>
      </c>
      <c r="E19" s="177"/>
      <c r="F19" s="243"/>
      <c r="G19" s="248">
        <v>3800</v>
      </c>
      <c r="H19" s="243"/>
      <c r="I19" s="243"/>
      <c r="J19" s="243"/>
      <c r="K19" s="243"/>
      <c r="L19" s="245"/>
      <c r="M19" s="248">
        <v>3800</v>
      </c>
      <c r="N19" s="243"/>
      <c r="O19" s="243"/>
      <c r="P19" s="246"/>
      <c r="Q19" s="247"/>
      <c r="R19" s="247"/>
    </row>
    <row r="20" spans="1:18" ht="38.25">
      <c r="A20" s="242"/>
      <c r="B20" s="242"/>
      <c r="C20" s="242"/>
      <c r="D20" s="14" t="s">
        <v>315</v>
      </c>
      <c r="E20" s="177"/>
      <c r="F20" s="243"/>
      <c r="G20" s="248">
        <v>3800</v>
      </c>
      <c r="H20" s="243"/>
      <c r="I20" s="243"/>
      <c r="J20" s="243"/>
      <c r="K20" s="243"/>
      <c r="L20" s="245"/>
      <c r="M20" s="248">
        <v>3800</v>
      </c>
      <c r="N20" s="243"/>
      <c r="O20" s="243"/>
      <c r="P20" s="246"/>
      <c r="Q20" s="247"/>
      <c r="R20" s="247"/>
    </row>
    <row r="21" spans="1:18" ht="25.5">
      <c r="A21" s="242"/>
      <c r="B21" s="242"/>
      <c r="C21" s="242"/>
      <c r="D21" s="14" t="s">
        <v>316</v>
      </c>
      <c r="E21" s="177"/>
      <c r="F21" s="243"/>
      <c r="G21" s="248">
        <v>25800</v>
      </c>
      <c r="H21" s="243"/>
      <c r="I21" s="243"/>
      <c r="J21" s="243"/>
      <c r="K21" s="243"/>
      <c r="L21" s="245"/>
      <c r="M21" s="248">
        <v>25800</v>
      </c>
      <c r="N21" s="243"/>
      <c r="O21" s="243"/>
      <c r="P21" s="246"/>
      <c r="Q21" s="247"/>
      <c r="R21" s="247"/>
    </row>
    <row r="22" spans="1:18" ht="38.25">
      <c r="A22" s="242"/>
      <c r="B22" s="242"/>
      <c r="C22" s="242"/>
      <c r="D22" s="14" t="s">
        <v>317</v>
      </c>
      <c r="E22" s="177"/>
      <c r="F22" s="243"/>
      <c r="G22" s="248">
        <v>0</v>
      </c>
      <c r="H22" s="243"/>
      <c r="I22" s="243"/>
      <c r="J22" s="243"/>
      <c r="K22" s="243"/>
      <c r="L22" s="245"/>
      <c r="M22" s="248">
        <v>0</v>
      </c>
      <c r="N22" s="243"/>
      <c r="O22" s="243"/>
      <c r="P22" s="246"/>
      <c r="Q22" s="247"/>
      <c r="R22" s="247"/>
    </row>
    <row r="23" spans="1:18" ht="12.75">
      <c r="A23" s="242"/>
      <c r="B23" s="242"/>
      <c r="C23" s="242"/>
      <c r="D23" s="249" t="s">
        <v>114</v>
      </c>
      <c r="E23" s="173"/>
      <c r="F23" s="243"/>
      <c r="G23" s="241">
        <v>107500</v>
      </c>
      <c r="H23" s="250"/>
      <c r="I23" s="250"/>
      <c r="J23" s="250"/>
      <c r="K23" s="250"/>
      <c r="L23" s="245"/>
      <c r="M23" s="241">
        <v>107500</v>
      </c>
      <c r="N23" s="250"/>
      <c r="O23" s="250"/>
      <c r="P23" s="251"/>
      <c r="Q23" s="247"/>
      <c r="R23" s="247"/>
    </row>
    <row r="24" spans="1:18" ht="25.5">
      <c r="A24" s="242"/>
      <c r="B24" s="242"/>
      <c r="C24" s="242" t="s">
        <v>318</v>
      </c>
      <c r="D24" s="14" t="s">
        <v>300</v>
      </c>
      <c r="E24" s="172" t="s">
        <v>319</v>
      </c>
      <c r="F24" s="243"/>
      <c r="G24" s="243"/>
      <c r="H24" s="243">
        <v>243200</v>
      </c>
      <c r="I24" s="243"/>
      <c r="J24" s="243"/>
      <c r="K24" s="243"/>
      <c r="L24" s="245"/>
      <c r="M24" s="243"/>
      <c r="N24" s="243">
        <v>243200</v>
      </c>
      <c r="O24" s="243"/>
      <c r="P24" s="243"/>
      <c r="Q24" s="247"/>
      <c r="R24" s="247">
        <v>2432</v>
      </c>
    </row>
    <row r="25" spans="1:18" ht="38.25">
      <c r="A25" s="242"/>
      <c r="B25" s="242"/>
      <c r="C25" s="242"/>
      <c r="D25" s="10" t="s">
        <v>302</v>
      </c>
      <c r="E25" s="177"/>
      <c r="F25" s="243"/>
      <c r="G25" s="243"/>
      <c r="H25" s="243">
        <v>371100</v>
      </c>
      <c r="I25" s="243"/>
      <c r="J25" s="243"/>
      <c r="K25" s="243"/>
      <c r="L25" s="245"/>
      <c r="M25" s="243"/>
      <c r="N25" s="243">
        <v>371100</v>
      </c>
      <c r="O25" s="243"/>
      <c r="P25" s="243"/>
      <c r="Q25" s="247"/>
      <c r="R25" s="247">
        <v>3711</v>
      </c>
    </row>
    <row r="26" spans="1:18" ht="25.5">
      <c r="A26" s="242"/>
      <c r="B26" s="242"/>
      <c r="C26" s="242"/>
      <c r="D26" s="10" t="s">
        <v>303</v>
      </c>
      <c r="E26" s="177"/>
      <c r="F26" s="243"/>
      <c r="G26" s="243"/>
      <c r="H26" s="243">
        <v>274000</v>
      </c>
      <c r="I26" s="243"/>
      <c r="J26" s="243"/>
      <c r="K26" s="243"/>
      <c r="L26" s="245"/>
      <c r="M26" s="243"/>
      <c r="N26" s="243">
        <v>274000</v>
      </c>
      <c r="O26" s="243"/>
      <c r="P26" s="243"/>
      <c r="Q26" s="247"/>
      <c r="R26" s="247">
        <v>2740</v>
      </c>
    </row>
    <row r="27" spans="1:18" ht="38.25">
      <c r="A27" s="242"/>
      <c r="B27" s="242"/>
      <c r="C27" s="242"/>
      <c r="D27" s="10" t="s">
        <v>304</v>
      </c>
      <c r="E27" s="177"/>
      <c r="F27" s="243"/>
      <c r="G27" s="243"/>
      <c r="H27" s="243">
        <v>89000</v>
      </c>
      <c r="I27" s="243"/>
      <c r="J27" s="243"/>
      <c r="K27" s="243"/>
      <c r="L27" s="245"/>
      <c r="M27" s="243"/>
      <c r="N27" s="243">
        <v>89000</v>
      </c>
      <c r="O27" s="243"/>
      <c r="P27" s="243"/>
      <c r="Q27" s="247"/>
      <c r="R27" s="247">
        <v>890</v>
      </c>
    </row>
    <row r="28" spans="1:18" ht="38.25">
      <c r="A28" s="242"/>
      <c r="B28" s="242"/>
      <c r="C28" s="242"/>
      <c r="D28" s="10" t="s">
        <v>305</v>
      </c>
      <c r="E28" s="177"/>
      <c r="F28" s="243"/>
      <c r="G28" s="243"/>
      <c r="H28" s="243">
        <v>607400</v>
      </c>
      <c r="I28" s="243"/>
      <c r="J28" s="243"/>
      <c r="K28" s="243"/>
      <c r="L28" s="245"/>
      <c r="M28" s="243"/>
      <c r="N28" s="243">
        <v>607400</v>
      </c>
      <c r="O28" s="243"/>
      <c r="P28" s="243"/>
      <c r="Q28" s="247"/>
      <c r="R28" s="247">
        <v>6074</v>
      </c>
    </row>
    <row r="29" spans="1:18" ht="25.5">
      <c r="A29" s="242"/>
      <c r="B29" s="242"/>
      <c r="C29" s="242"/>
      <c r="D29" s="14" t="s">
        <v>306</v>
      </c>
      <c r="E29" s="177"/>
      <c r="F29" s="243"/>
      <c r="G29" s="243"/>
      <c r="H29" s="243">
        <v>177400</v>
      </c>
      <c r="I29" s="243"/>
      <c r="J29" s="243"/>
      <c r="K29" s="243"/>
      <c r="L29" s="245"/>
      <c r="M29" s="243"/>
      <c r="N29" s="243">
        <v>177400</v>
      </c>
      <c r="O29" s="243"/>
      <c r="P29" s="243"/>
      <c r="Q29" s="247"/>
      <c r="R29" s="247">
        <v>1774</v>
      </c>
    </row>
    <row r="30" spans="1:18" ht="25.5">
      <c r="A30" s="242"/>
      <c r="B30" s="242"/>
      <c r="C30" s="242"/>
      <c r="D30" s="14" t="s">
        <v>307</v>
      </c>
      <c r="E30" s="177"/>
      <c r="F30" s="243"/>
      <c r="G30" s="243"/>
      <c r="H30" s="243">
        <v>230000</v>
      </c>
      <c r="I30" s="243"/>
      <c r="J30" s="243"/>
      <c r="K30" s="243"/>
      <c r="L30" s="245"/>
      <c r="M30" s="243"/>
      <c r="N30" s="243">
        <v>230000</v>
      </c>
      <c r="O30" s="243"/>
      <c r="P30" s="243"/>
      <c r="Q30" s="247"/>
      <c r="R30" s="247">
        <v>2300</v>
      </c>
    </row>
    <row r="31" spans="1:18" ht="25.5">
      <c r="A31" s="242"/>
      <c r="B31" s="242"/>
      <c r="C31" s="242"/>
      <c r="D31" s="10" t="s">
        <v>308</v>
      </c>
      <c r="E31" s="177"/>
      <c r="F31" s="243"/>
      <c r="G31" s="243"/>
      <c r="H31" s="243">
        <v>800400</v>
      </c>
      <c r="I31" s="243"/>
      <c r="J31" s="243"/>
      <c r="K31" s="243"/>
      <c r="L31" s="245"/>
      <c r="M31" s="243"/>
      <c r="N31" s="243">
        <v>800400</v>
      </c>
      <c r="O31" s="243"/>
      <c r="P31" s="243"/>
      <c r="Q31" s="247"/>
      <c r="R31" s="247">
        <v>8004</v>
      </c>
    </row>
    <row r="32" spans="1:18" ht="25.5">
      <c r="A32" s="242"/>
      <c r="B32" s="242"/>
      <c r="C32" s="242"/>
      <c r="D32" s="14" t="s">
        <v>309</v>
      </c>
      <c r="E32" s="177"/>
      <c r="F32" s="243"/>
      <c r="G32" s="243"/>
      <c r="H32" s="243">
        <v>495000</v>
      </c>
      <c r="I32" s="243"/>
      <c r="J32" s="243"/>
      <c r="K32" s="243"/>
      <c r="L32" s="245"/>
      <c r="M32" s="243"/>
      <c r="N32" s="243">
        <v>495000</v>
      </c>
      <c r="O32" s="243"/>
      <c r="P32" s="243"/>
      <c r="Q32" s="247"/>
      <c r="R32" s="247">
        <v>4950</v>
      </c>
    </row>
    <row r="33" spans="1:18" ht="51">
      <c r="A33" s="242"/>
      <c r="B33" s="242"/>
      <c r="C33" s="242"/>
      <c r="D33" s="14" t="s">
        <v>310</v>
      </c>
      <c r="E33" s="177"/>
      <c r="F33" s="243"/>
      <c r="G33" s="243"/>
      <c r="H33" s="243">
        <v>105800</v>
      </c>
      <c r="I33" s="243"/>
      <c r="J33" s="243"/>
      <c r="K33" s="243"/>
      <c r="L33" s="245"/>
      <c r="M33" s="243"/>
      <c r="N33" s="243">
        <v>105800</v>
      </c>
      <c r="O33" s="243"/>
      <c r="P33" s="243"/>
      <c r="Q33" s="247"/>
      <c r="R33" s="247">
        <v>1058</v>
      </c>
    </row>
    <row r="34" spans="1:18" ht="38.25">
      <c r="A34" s="242"/>
      <c r="B34" s="242"/>
      <c r="C34" s="242"/>
      <c r="D34" s="14" t="s">
        <v>311</v>
      </c>
      <c r="E34" s="177"/>
      <c r="F34" s="243"/>
      <c r="G34" s="243"/>
      <c r="H34" s="243">
        <v>179100</v>
      </c>
      <c r="I34" s="243"/>
      <c r="J34" s="243"/>
      <c r="K34" s="243"/>
      <c r="L34" s="245"/>
      <c r="M34" s="243"/>
      <c r="N34" s="243">
        <v>179100</v>
      </c>
      <c r="O34" s="243"/>
      <c r="P34" s="243"/>
      <c r="Q34" s="247"/>
      <c r="R34" s="247">
        <v>1791</v>
      </c>
    </row>
    <row r="35" spans="1:18" ht="38.25">
      <c r="A35" s="242"/>
      <c r="B35" s="242"/>
      <c r="C35" s="242"/>
      <c r="D35" s="10" t="s">
        <v>312</v>
      </c>
      <c r="E35" s="177"/>
      <c r="F35" s="243"/>
      <c r="G35" s="243"/>
      <c r="H35" s="243">
        <v>286700</v>
      </c>
      <c r="I35" s="243"/>
      <c r="J35" s="243"/>
      <c r="K35" s="243"/>
      <c r="L35" s="245"/>
      <c r="M35" s="243"/>
      <c r="N35" s="243">
        <v>286700</v>
      </c>
      <c r="O35" s="243"/>
      <c r="P35" s="243"/>
      <c r="Q35" s="247"/>
      <c r="R35" s="247">
        <v>2867</v>
      </c>
    </row>
    <row r="36" spans="1:18" ht="38.25">
      <c r="A36" s="242"/>
      <c r="B36" s="242"/>
      <c r="C36" s="242"/>
      <c r="D36" s="10" t="s">
        <v>313</v>
      </c>
      <c r="E36" s="177"/>
      <c r="F36" s="243"/>
      <c r="G36" s="243"/>
      <c r="H36" s="243">
        <v>298100</v>
      </c>
      <c r="I36" s="243"/>
      <c r="J36" s="243"/>
      <c r="K36" s="243"/>
      <c r="L36" s="245"/>
      <c r="M36" s="243"/>
      <c r="N36" s="243">
        <v>298100</v>
      </c>
      <c r="O36" s="243"/>
      <c r="P36" s="243"/>
      <c r="Q36" s="247"/>
      <c r="R36" s="247">
        <v>2981</v>
      </c>
    </row>
    <row r="37" spans="1:18" ht="25.5">
      <c r="A37" s="242"/>
      <c r="B37" s="242"/>
      <c r="C37" s="242"/>
      <c r="D37" s="14" t="s">
        <v>314</v>
      </c>
      <c r="E37" s="177"/>
      <c r="F37" s="243"/>
      <c r="G37" s="243"/>
      <c r="H37" s="243">
        <v>228800</v>
      </c>
      <c r="I37" s="243"/>
      <c r="J37" s="243"/>
      <c r="K37" s="243"/>
      <c r="L37" s="245"/>
      <c r="M37" s="243"/>
      <c r="N37" s="243">
        <v>228800</v>
      </c>
      <c r="O37" s="243"/>
      <c r="P37" s="243"/>
      <c r="Q37" s="247"/>
      <c r="R37" s="247">
        <v>2288</v>
      </c>
    </row>
    <row r="38" spans="1:18" ht="38.25">
      <c r="A38" s="242"/>
      <c r="B38" s="242"/>
      <c r="C38" s="242"/>
      <c r="D38" s="10" t="s">
        <v>315</v>
      </c>
      <c r="E38" s="177"/>
      <c r="F38" s="243"/>
      <c r="G38" s="243"/>
      <c r="H38" s="243">
        <v>543300</v>
      </c>
      <c r="I38" s="243"/>
      <c r="J38" s="243"/>
      <c r="K38" s="243"/>
      <c r="L38" s="245"/>
      <c r="M38" s="243"/>
      <c r="N38" s="243">
        <v>543300</v>
      </c>
      <c r="O38" s="243"/>
      <c r="P38" s="243"/>
      <c r="Q38" s="247"/>
      <c r="R38" s="247">
        <v>5433</v>
      </c>
    </row>
    <row r="39" spans="1:18" ht="25.5">
      <c r="A39" s="242"/>
      <c r="B39" s="242"/>
      <c r="C39" s="242"/>
      <c r="D39" s="14" t="s">
        <v>316</v>
      </c>
      <c r="E39" s="177"/>
      <c r="F39" s="243"/>
      <c r="G39" s="243"/>
      <c r="H39" s="243">
        <v>227200</v>
      </c>
      <c r="I39" s="243"/>
      <c r="J39" s="243"/>
      <c r="K39" s="243"/>
      <c r="L39" s="245"/>
      <c r="M39" s="243"/>
      <c r="N39" s="243">
        <v>227200</v>
      </c>
      <c r="O39" s="243"/>
      <c r="P39" s="243"/>
      <c r="Q39" s="247"/>
      <c r="R39" s="247">
        <v>2272</v>
      </c>
    </row>
    <row r="40" spans="1:18" ht="38.25">
      <c r="A40" s="242"/>
      <c r="B40" s="242"/>
      <c r="C40" s="242"/>
      <c r="D40" s="17" t="s">
        <v>317</v>
      </c>
      <c r="E40" s="177"/>
      <c r="F40" s="243"/>
      <c r="G40" s="243"/>
      <c r="H40" s="243">
        <v>572600</v>
      </c>
      <c r="I40" s="243"/>
      <c r="J40" s="243"/>
      <c r="K40" s="243"/>
      <c r="L40" s="245"/>
      <c r="M40" s="243"/>
      <c r="N40" s="243">
        <v>572600</v>
      </c>
      <c r="O40" s="243"/>
      <c r="P40" s="243"/>
      <c r="Q40" s="247"/>
      <c r="R40" s="247">
        <v>5726</v>
      </c>
    </row>
    <row r="41" spans="1:18" ht="12.75">
      <c r="A41" s="242"/>
      <c r="B41" s="242"/>
      <c r="C41" s="242"/>
      <c r="D41" s="249" t="s">
        <v>114</v>
      </c>
      <c r="E41" s="173"/>
      <c r="F41" s="243"/>
      <c r="G41" s="248"/>
      <c r="H41" s="241">
        <v>5729100</v>
      </c>
      <c r="I41" s="243"/>
      <c r="J41" s="243"/>
      <c r="K41" s="243"/>
      <c r="L41" s="245"/>
      <c r="M41" s="243"/>
      <c r="N41" s="241">
        <v>5729100</v>
      </c>
      <c r="O41" s="243"/>
      <c r="P41" s="243"/>
      <c r="Q41" s="247"/>
      <c r="R41" s="247"/>
    </row>
    <row r="42" spans="1:18" ht="12.75">
      <c r="A42" s="242">
        <v>3</v>
      </c>
      <c r="B42" s="242" t="s">
        <v>320</v>
      </c>
      <c r="C42" s="242" t="s">
        <v>321</v>
      </c>
      <c r="D42" s="252" t="s">
        <v>322</v>
      </c>
      <c r="E42" s="172" t="s">
        <v>301</v>
      </c>
      <c r="F42" s="253"/>
      <c r="G42" s="253">
        <f>570*2000</f>
        <v>1140000</v>
      </c>
      <c r="H42" s="253"/>
      <c r="I42" s="253"/>
      <c r="J42" s="253">
        <f>349*2000</f>
        <v>698000</v>
      </c>
      <c r="K42" s="253"/>
      <c r="L42" s="253"/>
      <c r="M42" s="253">
        <f>563*2000</f>
        <v>1126000</v>
      </c>
      <c r="N42" s="253"/>
      <c r="O42" s="253"/>
      <c r="P42" s="253"/>
      <c r="Q42" s="247"/>
      <c r="R42" s="247">
        <v>57</v>
      </c>
    </row>
    <row r="43" spans="1:18" ht="12.75">
      <c r="A43" s="242"/>
      <c r="B43" s="242"/>
      <c r="C43" s="242"/>
      <c r="D43" s="254"/>
      <c r="E43" s="177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47"/>
      <c r="R43" s="247">
        <v>117</v>
      </c>
    </row>
    <row r="44" spans="1:18" ht="12.75">
      <c r="A44" s="242"/>
      <c r="B44" s="242"/>
      <c r="C44" s="242"/>
      <c r="D44" s="254"/>
      <c r="E44" s="177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47"/>
      <c r="R44" s="247">
        <v>40</v>
      </c>
    </row>
    <row r="45" spans="1:18" ht="12.75">
      <c r="A45" s="242"/>
      <c r="B45" s="242"/>
      <c r="C45" s="242"/>
      <c r="D45" s="254"/>
      <c r="E45" s="177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47"/>
      <c r="R45" s="247">
        <v>25</v>
      </c>
    </row>
    <row r="46" spans="1:18" ht="12.75">
      <c r="A46" s="242"/>
      <c r="B46" s="242"/>
      <c r="C46" s="242"/>
      <c r="D46" s="254"/>
      <c r="E46" s="177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47"/>
      <c r="R46" s="247">
        <v>69</v>
      </c>
    </row>
    <row r="47" spans="1:18" ht="12.75">
      <c r="A47" s="242"/>
      <c r="B47" s="242"/>
      <c r="C47" s="242"/>
      <c r="D47" s="254"/>
      <c r="E47" s="177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47"/>
      <c r="R47" s="247">
        <v>93</v>
      </c>
    </row>
    <row r="48" spans="1:18" ht="12.75">
      <c r="A48" s="242"/>
      <c r="B48" s="242"/>
      <c r="C48" s="242"/>
      <c r="D48" s="254"/>
      <c r="E48" s="177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47"/>
      <c r="R48" s="247">
        <v>71</v>
      </c>
    </row>
    <row r="49" spans="1:18" ht="12.75">
      <c r="A49" s="242"/>
      <c r="B49" s="242"/>
      <c r="C49" s="242"/>
      <c r="D49" s="254"/>
      <c r="E49" s="177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47"/>
      <c r="R49" s="247">
        <v>149</v>
      </c>
    </row>
    <row r="50" spans="1:18" ht="12.75">
      <c r="A50" s="242"/>
      <c r="B50" s="242"/>
      <c r="C50" s="242"/>
      <c r="D50" s="254"/>
      <c r="E50" s="177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47"/>
      <c r="R50" s="247">
        <v>124</v>
      </c>
    </row>
    <row r="51" spans="1:18" ht="12.75">
      <c r="A51" s="242"/>
      <c r="B51" s="242"/>
      <c r="C51" s="242"/>
      <c r="D51" s="254"/>
      <c r="E51" s="177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47"/>
      <c r="R51" s="247">
        <v>78</v>
      </c>
    </row>
    <row r="52" spans="1:18" ht="12.75">
      <c r="A52" s="242"/>
      <c r="B52" s="242"/>
      <c r="C52" s="242"/>
      <c r="D52" s="254"/>
      <c r="E52" s="177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47"/>
      <c r="R52" s="247">
        <v>57</v>
      </c>
    </row>
    <row r="53" spans="1:18" ht="12.75">
      <c r="A53" s="242"/>
      <c r="B53" s="242"/>
      <c r="C53" s="242"/>
      <c r="D53" s="254"/>
      <c r="E53" s="177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47"/>
      <c r="R53" s="247">
        <v>18</v>
      </c>
    </row>
    <row r="54" spans="1:18" ht="12.75">
      <c r="A54" s="242"/>
      <c r="B54" s="242"/>
      <c r="C54" s="242"/>
      <c r="D54" s="254"/>
      <c r="E54" s="177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47"/>
      <c r="R54" s="247">
        <v>40</v>
      </c>
    </row>
    <row r="55" spans="1:18" ht="12.75">
      <c r="A55" s="242"/>
      <c r="B55" s="242"/>
      <c r="C55" s="242"/>
      <c r="D55" s="254"/>
      <c r="E55" s="177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47"/>
      <c r="R55" s="247">
        <v>75</v>
      </c>
    </row>
    <row r="56" spans="1:18" ht="12.75">
      <c r="A56" s="242"/>
      <c r="B56" s="242"/>
      <c r="C56" s="242"/>
      <c r="D56" s="254"/>
      <c r="E56" s="177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47"/>
      <c r="R56" s="247">
        <v>45</v>
      </c>
    </row>
    <row r="57" spans="1:18" ht="12.75">
      <c r="A57" s="242"/>
      <c r="B57" s="242"/>
      <c r="C57" s="242"/>
      <c r="D57" s="254"/>
      <c r="E57" s="177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47"/>
      <c r="R57" s="247">
        <v>175</v>
      </c>
    </row>
    <row r="58" spans="1:18" ht="12.75">
      <c r="A58" s="242"/>
      <c r="B58" s="242"/>
      <c r="C58" s="242"/>
      <c r="D58" s="256"/>
      <c r="E58" s="17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47"/>
      <c r="R58" s="247">
        <v>101</v>
      </c>
    </row>
    <row r="59" spans="1:18" ht="12.75">
      <c r="A59" s="242"/>
      <c r="B59" s="242"/>
      <c r="C59" s="242"/>
      <c r="D59" s="249" t="s">
        <v>114</v>
      </c>
      <c r="E59" s="173"/>
      <c r="F59" s="258"/>
      <c r="G59" s="258">
        <f>SUM(G42)</f>
        <v>1140000</v>
      </c>
      <c r="H59" s="258"/>
      <c r="I59" s="258"/>
      <c r="J59" s="258">
        <f>SUM(J42)</f>
        <v>698000</v>
      </c>
      <c r="K59" s="258"/>
      <c r="L59" s="258"/>
      <c r="M59" s="258">
        <f>SUM(M42)</f>
        <v>1126000</v>
      </c>
      <c r="N59" s="258"/>
      <c r="O59" s="258"/>
      <c r="P59" s="258"/>
      <c r="Q59" s="259"/>
      <c r="R59" s="259"/>
    </row>
    <row r="60" spans="1:18" ht="25.5">
      <c r="A60" s="242"/>
      <c r="B60" s="242"/>
      <c r="C60" s="242" t="s">
        <v>323</v>
      </c>
      <c r="D60" s="14" t="s">
        <v>300</v>
      </c>
      <c r="E60" s="172" t="s">
        <v>319</v>
      </c>
      <c r="F60" s="260"/>
      <c r="G60" s="260"/>
      <c r="H60" s="260">
        <v>116736</v>
      </c>
      <c r="I60" s="260">
        <v>116736</v>
      </c>
      <c r="J60" s="260">
        <v>116736</v>
      </c>
      <c r="K60" s="260">
        <v>116736</v>
      </c>
      <c r="L60" s="260">
        <v>116736</v>
      </c>
      <c r="M60" s="260">
        <v>116736</v>
      </c>
      <c r="N60" s="260">
        <v>116736</v>
      </c>
      <c r="O60" s="260">
        <v>116736</v>
      </c>
      <c r="P60" s="260">
        <v>116736</v>
      </c>
      <c r="Q60" s="247"/>
      <c r="R60" s="247">
        <v>2432</v>
      </c>
    </row>
    <row r="61" spans="1:18" ht="38.25">
      <c r="A61" s="242"/>
      <c r="B61" s="242"/>
      <c r="C61" s="242"/>
      <c r="D61" s="10" t="s">
        <v>302</v>
      </c>
      <c r="E61" s="177"/>
      <c r="F61" s="245"/>
      <c r="G61" s="245"/>
      <c r="H61" s="260">
        <v>178128</v>
      </c>
      <c r="I61" s="260">
        <v>178128</v>
      </c>
      <c r="J61" s="260">
        <v>178128</v>
      </c>
      <c r="K61" s="260">
        <v>178128</v>
      </c>
      <c r="L61" s="260">
        <v>178128</v>
      </c>
      <c r="M61" s="260">
        <v>178128</v>
      </c>
      <c r="N61" s="260">
        <v>178128</v>
      </c>
      <c r="O61" s="260">
        <v>178128</v>
      </c>
      <c r="P61" s="260">
        <v>178128</v>
      </c>
      <c r="Q61" s="247"/>
      <c r="R61" s="247">
        <v>3711</v>
      </c>
    </row>
    <row r="62" spans="1:18" ht="25.5">
      <c r="A62" s="242"/>
      <c r="B62" s="242"/>
      <c r="C62" s="242"/>
      <c r="D62" s="10" t="s">
        <v>303</v>
      </c>
      <c r="E62" s="177"/>
      <c r="F62" s="245"/>
      <c r="G62" s="245"/>
      <c r="H62" s="260">
        <v>131520</v>
      </c>
      <c r="I62" s="260">
        <v>131520</v>
      </c>
      <c r="J62" s="260">
        <v>131520</v>
      </c>
      <c r="K62" s="260">
        <v>131520</v>
      </c>
      <c r="L62" s="260">
        <v>131520</v>
      </c>
      <c r="M62" s="260">
        <v>131520</v>
      </c>
      <c r="N62" s="260">
        <v>131520</v>
      </c>
      <c r="O62" s="260">
        <v>131520</v>
      </c>
      <c r="P62" s="260">
        <v>131520</v>
      </c>
      <c r="Q62" s="247"/>
      <c r="R62" s="247">
        <v>2740</v>
      </c>
    </row>
    <row r="63" spans="1:18" ht="38.25">
      <c r="A63" s="242"/>
      <c r="B63" s="242"/>
      <c r="C63" s="242"/>
      <c r="D63" s="10" t="s">
        <v>304</v>
      </c>
      <c r="E63" s="177"/>
      <c r="F63" s="245"/>
      <c r="G63" s="245"/>
      <c r="H63" s="260">
        <v>42720</v>
      </c>
      <c r="I63" s="260">
        <v>42720</v>
      </c>
      <c r="J63" s="260">
        <v>42720</v>
      </c>
      <c r="K63" s="260">
        <v>42720</v>
      </c>
      <c r="L63" s="260">
        <v>42720</v>
      </c>
      <c r="M63" s="260">
        <v>42720</v>
      </c>
      <c r="N63" s="260">
        <v>42720</v>
      </c>
      <c r="O63" s="260">
        <v>42720</v>
      </c>
      <c r="P63" s="260">
        <v>42720</v>
      </c>
      <c r="Q63" s="247"/>
      <c r="R63" s="247">
        <v>890</v>
      </c>
    </row>
    <row r="64" spans="1:18" ht="38.25">
      <c r="A64" s="242"/>
      <c r="B64" s="242"/>
      <c r="C64" s="242"/>
      <c r="D64" s="10" t="s">
        <v>305</v>
      </c>
      <c r="E64" s="177"/>
      <c r="F64" s="245"/>
      <c r="G64" s="245"/>
      <c r="H64" s="260">
        <v>291552</v>
      </c>
      <c r="I64" s="260">
        <v>291552</v>
      </c>
      <c r="J64" s="260">
        <v>291552</v>
      </c>
      <c r="K64" s="260">
        <v>291552</v>
      </c>
      <c r="L64" s="260">
        <v>291552</v>
      </c>
      <c r="M64" s="260">
        <v>291552</v>
      </c>
      <c r="N64" s="260">
        <v>291552</v>
      </c>
      <c r="O64" s="260">
        <v>291552</v>
      </c>
      <c r="P64" s="260">
        <v>291552</v>
      </c>
      <c r="Q64" s="247"/>
      <c r="R64" s="247">
        <v>6074</v>
      </c>
    </row>
    <row r="65" spans="1:18" ht="25.5">
      <c r="A65" s="242"/>
      <c r="B65" s="242"/>
      <c r="C65" s="242"/>
      <c r="D65" s="14" t="s">
        <v>306</v>
      </c>
      <c r="E65" s="177"/>
      <c r="F65" s="245"/>
      <c r="G65" s="245"/>
      <c r="H65" s="260">
        <v>85152</v>
      </c>
      <c r="I65" s="260">
        <v>85152</v>
      </c>
      <c r="J65" s="260">
        <v>85152</v>
      </c>
      <c r="K65" s="260">
        <v>85152</v>
      </c>
      <c r="L65" s="260">
        <v>85152</v>
      </c>
      <c r="M65" s="260">
        <v>85152</v>
      </c>
      <c r="N65" s="260">
        <v>85152</v>
      </c>
      <c r="O65" s="260">
        <v>85152</v>
      </c>
      <c r="P65" s="260">
        <v>85152</v>
      </c>
      <c r="Q65" s="247"/>
      <c r="R65" s="247">
        <v>1774</v>
      </c>
    </row>
    <row r="66" spans="1:18" ht="25.5">
      <c r="A66" s="242"/>
      <c r="B66" s="242"/>
      <c r="C66" s="242"/>
      <c r="D66" s="14" t="s">
        <v>307</v>
      </c>
      <c r="E66" s="177"/>
      <c r="F66" s="245"/>
      <c r="G66" s="245"/>
      <c r="H66" s="260">
        <v>110400</v>
      </c>
      <c r="I66" s="260">
        <v>110400</v>
      </c>
      <c r="J66" s="260">
        <v>110400</v>
      </c>
      <c r="K66" s="260">
        <v>110400</v>
      </c>
      <c r="L66" s="260">
        <v>110400</v>
      </c>
      <c r="M66" s="260">
        <v>110400</v>
      </c>
      <c r="N66" s="260">
        <v>110400</v>
      </c>
      <c r="O66" s="260">
        <v>110400</v>
      </c>
      <c r="P66" s="260">
        <v>110400</v>
      </c>
      <c r="Q66" s="247"/>
      <c r="R66" s="247">
        <v>2300</v>
      </c>
    </row>
    <row r="67" spans="1:18" ht="25.5">
      <c r="A67" s="242"/>
      <c r="B67" s="242"/>
      <c r="C67" s="242"/>
      <c r="D67" s="10" t="s">
        <v>308</v>
      </c>
      <c r="E67" s="177"/>
      <c r="F67" s="245"/>
      <c r="G67" s="245"/>
      <c r="H67" s="260">
        <v>384192</v>
      </c>
      <c r="I67" s="260">
        <v>384192</v>
      </c>
      <c r="J67" s="260">
        <v>384192</v>
      </c>
      <c r="K67" s="260">
        <v>384192</v>
      </c>
      <c r="L67" s="260">
        <v>384192</v>
      </c>
      <c r="M67" s="260">
        <v>384192</v>
      </c>
      <c r="N67" s="260">
        <v>384192</v>
      </c>
      <c r="O67" s="260">
        <v>384192</v>
      </c>
      <c r="P67" s="260">
        <v>384192</v>
      </c>
      <c r="Q67" s="247"/>
      <c r="R67" s="247">
        <v>8004</v>
      </c>
    </row>
    <row r="68" spans="1:18" ht="25.5">
      <c r="A68" s="242"/>
      <c r="B68" s="242"/>
      <c r="C68" s="242"/>
      <c r="D68" s="14" t="s">
        <v>309</v>
      </c>
      <c r="E68" s="177"/>
      <c r="F68" s="245"/>
      <c r="G68" s="245"/>
      <c r="H68" s="260">
        <v>237600</v>
      </c>
      <c r="I68" s="260">
        <v>237600</v>
      </c>
      <c r="J68" s="260">
        <v>237600</v>
      </c>
      <c r="K68" s="260">
        <v>237600</v>
      </c>
      <c r="L68" s="260">
        <v>237600</v>
      </c>
      <c r="M68" s="260">
        <v>237600</v>
      </c>
      <c r="N68" s="260">
        <v>237600</v>
      </c>
      <c r="O68" s="260">
        <v>237600</v>
      </c>
      <c r="P68" s="260">
        <v>237600</v>
      </c>
      <c r="Q68" s="247"/>
      <c r="R68" s="247">
        <v>4950</v>
      </c>
    </row>
    <row r="69" spans="1:18" ht="51">
      <c r="A69" s="242"/>
      <c r="B69" s="242"/>
      <c r="C69" s="242"/>
      <c r="D69" s="14" t="s">
        <v>310</v>
      </c>
      <c r="E69" s="177"/>
      <c r="F69" s="245"/>
      <c r="G69" s="245"/>
      <c r="H69" s="260">
        <v>50784</v>
      </c>
      <c r="I69" s="260">
        <v>50784</v>
      </c>
      <c r="J69" s="260">
        <v>50784</v>
      </c>
      <c r="K69" s="260">
        <v>50784</v>
      </c>
      <c r="L69" s="260">
        <v>50784</v>
      </c>
      <c r="M69" s="260">
        <v>50784</v>
      </c>
      <c r="N69" s="260">
        <v>50784</v>
      </c>
      <c r="O69" s="260">
        <v>50784</v>
      </c>
      <c r="P69" s="260">
        <v>50784</v>
      </c>
      <c r="Q69" s="247"/>
      <c r="R69" s="247">
        <v>1058</v>
      </c>
    </row>
    <row r="70" spans="1:18" ht="38.25">
      <c r="A70" s="242"/>
      <c r="B70" s="242"/>
      <c r="C70" s="242"/>
      <c r="D70" s="14" t="s">
        <v>311</v>
      </c>
      <c r="E70" s="177"/>
      <c r="F70" s="245"/>
      <c r="G70" s="245"/>
      <c r="H70" s="260">
        <v>85968</v>
      </c>
      <c r="I70" s="260">
        <v>85968</v>
      </c>
      <c r="J70" s="260">
        <v>85968</v>
      </c>
      <c r="K70" s="260">
        <v>85968</v>
      </c>
      <c r="L70" s="260">
        <v>85968</v>
      </c>
      <c r="M70" s="260">
        <v>85968</v>
      </c>
      <c r="N70" s="260">
        <v>85968</v>
      </c>
      <c r="O70" s="260">
        <v>85968</v>
      </c>
      <c r="P70" s="260">
        <v>85968</v>
      </c>
      <c r="Q70" s="247"/>
      <c r="R70" s="247">
        <v>1791</v>
      </c>
    </row>
    <row r="71" spans="1:18" ht="38.25">
      <c r="A71" s="242"/>
      <c r="B71" s="242"/>
      <c r="C71" s="242"/>
      <c r="D71" s="10" t="s">
        <v>312</v>
      </c>
      <c r="E71" s="177"/>
      <c r="F71" s="245"/>
      <c r="G71" s="245"/>
      <c r="H71" s="260">
        <v>137616</v>
      </c>
      <c r="I71" s="260">
        <v>137616</v>
      </c>
      <c r="J71" s="260">
        <v>137616</v>
      </c>
      <c r="K71" s="260">
        <v>137616</v>
      </c>
      <c r="L71" s="260">
        <v>137616</v>
      </c>
      <c r="M71" s="260">
        <v>137616</v>
      </c>
      <c r="N71" s="260">
        <v>137616</v>
      </c>
      <c r="O71" s="260">
        <v>137616</v>
      </c>
      <c r="P71" s="260">
        <v>137616</v>
      </c>
      <c r="Q71" s="247"/>
      <c r="R71" s="247">
        <v>2867</v>
      </c>
    </row>
    <row r="72" spans="1:18" ht="38.25">
      <c r="A72" s="242"/>
      <c r="B72" s="242"/>
      <c r="C72" s="242"/>
      <c r="D72" s="10" t="s">
        <v>313</v>
      </c>
      <c r="E72" s="177"/>
      <c r="F72" s="245"/>
      <c r="G72" s="245"/>
      <c r="H72" s="260">
        <v>143088</v>
      </c>
      <c r="I72" s="260">
        <v>143088</v>
      </c>
      <c r="J72" s="260">
        <v>143088</v>
      </c>
      <c r="K72" s="260">
        <v>143088</v>
      </c>
      <c r="L72" s="260">
        <v>143088</v>
      </c>
      <c r="M72" s="260">
        <v>143088</v>
      </c>
      <c r="N72" s="260">
        <v>143088</v>
      </c>
      <c r="O72" s="260">
        <v>143088</v>
      </c>
      <c r="P72" s="260">
        <v>143088</v>
      </c>
      <c r="Q72" s="247"/>
      <c r="R72" s="247">
        <v>2981</v>
      </c>
    </row>
    <row r="73" spans="1:18" ht="25.5">
      <c r="A73" s="242"/>
      <c r="B73" s="242"/>
      <c r="C73" s="242"/>
      <c r="D73" s="14" t="s">
        <v>314</v>
      </c>
      <c r="E73" s="177"/>
      <c r="F73" s="245"/>
      <c r="G73" s="245"/>
      <c r="H73" s="260">
        <v>109824</v>
      </c>
      <c r="I73" s="260">
        <v>109824</v>
      </c>
      <c r="J73" s="260">
        <v>109824</v>
      </c>
      <c r="K73" s="260">
        <v>109824</v>
      </c>
      <c r="L73" s="260">
        <v>109824</v>
      </c>
      <c r="M73" s="260">
        <v>109824</v>
      </c>
      <c r="N73" s="260">
        <v>109824</v>
      </c>
      <c r="O73" s="260">
        <v>109824</v>
      </c>
      <c r="P73" s="260">
        <v>109824</v>
      </c>
      <c r="Q73" s="247"/>
      <c r="R73" s="247">
        <v>2288</v>
      </c>
    </row>
    <row r="74" spans="1:18" ht="38.25">
      <c r="A74" s="242"/>
      <c r="B74" s="242"/>
      <c r="C74" s="242"/>
      <c r="D74" s="10" t="s">
        <v>315</v>
      </c>
      <c r="E74" s="177"/>
      <c r="F74" s="245"/>
      <c r="G74" s="245"/>
      <c r="H74" s="260">
        <v>260784</v>
      </c>
      <c r="I74" s="260">
        <v>260784</v>
      </c>
      <c r="J74" s="260">
        <v>260784</v>
      </c>
      <c r="K74" s="260">
        <v>260784</v>
      </c>
      <c r="L74" s="260">
        <v>260784</v>
      </c>
      <c r="M74" s="260">
        <v>260784</v>
      </c>
      <c r="N74" s="260">
        <v>260784</v>
      </c>
      <c r="O74" s="260">
        <v>260784</v>
      </c>
      <c r="P74" s="260">
        <v>260784</v>
      </c>
      <c r="Q74" s="247"/>
      <c r="R74" s="247">
        <v>5433</v>
      </c>
    </row>
    <row r="75" spans="1:18" ht="25.5">
      <c r="A75" s="242"/>
      <c r="B75" s="242"/>
      <c r="C75" s="242"/>
      <c r="D75" s="14" t="s">
        <v>316</v>
      </c>
      <c r="E75" s="177"/>
      <c r="F75" s="245"/>
      <c r="G75" s="245"/>
      <c r="H75" s="260">
        <v>109056</v>
      </c>
      <c r="I75" s="260">
        <v>109056</v>
      </c>
      <c r="J75" s="260">
        <v>109056</v>
      </c>
      <c r="K75" s="260">
        <v>109056</v>
      </c>
      <c r="L75" s="260">
        <v>109056</v>
      </c>
      <c r="M75" s="260">
        <v>109056</v>
      </c>
      <c r="N75" s="260">
        <v>109056</v>
      </c>
      <c r="O75" s="260">
        <v>109056</v>
      </c>
      <c r="P75" s="260">
        <v>109056</v>
      </c>
      <c r="Q75" s="247"/>
      <c r="R75" s="247">
        <v>2272</v>
      </c>
    </row>
    <row r="76" spans="1:18" ht="38.25">
      <c r="A76" s="242"/>
      <c r="B76" s="242"/>
      <c r="C76" s="242"/>
      <c r="D76" s="17" t="s">
        <v>317</v>
      </c>
      <c r="E76" s="177"/>
      <c r="F76" s="245"/>
      <c r="G76" s="245"/>
      <c r="H76" s="260">
        <v>274848</v>
      </c>
      <c r="I76" s="260">
        <v>274848</v>
      </c>
      <c r="J76" s="260">
        <v>274848</v>
      </c>
      <c r="K76" s="260">
        <v>274848</v>
      </c>
      <c r="L76" s="260">
        <v>274848</v>
      </c>
      <c r="M76" s="260">
        <v>274848</v>
      </c>
      <c r="N76" s="260">
        <v>274848</v>
      </c>
      <c r="O76" s="260">
        <v>274848</v>
      </c>
      <c r="P76" s="260">
        <v>274848</v>
      </c>
      <c r="Q76" s="247"/>
      <c r="R76" s="247">
        <v>5726</v>
      </c>
    </row>
    <row r="77" spans="1:18" ht="12.75">
      <c r="A77" s="242"/>
      <c r="B77" s="242"/>
      <c r="C77" s="242"/>
      <c r="D77" s="249" t="s">
        <v>114</v>
      </c>
      <c r="E77" s="173"/>
      <c r="F77" s="261"/>
      <c r="G77" s="261"/>
      <c r="H77" s="262">
        <v>2749968</v>
      </c>
      <c r="I77" s="262">
        <v>2749968</v>
      </c>
      <c r="J77" s="262">
        <v>2749968</v>
      </c>
      <c r="K77" s="262">
        <v>2749968</v>
      </c>
      <c r="L77" s="262">
        <v>2749968</v>
      </c>
      <c r="M77" s="262">
        <v>2749968</v>
      </c>
      <c r="N77" s="262">
        <v>2749968</v>
      </c>
      <c r="O77" s="262">
        <v>2749968</v>
      </c>
      <c r="P77" s="262">
        <v>2749968</v>
      </c>
      <c r="Q77" s="263"/>
      <c r="R77" s="263"/>
    </row>
    <row r="78" spans="1:18" ht="12.75">
      <c r="A78" s="264">
        <v>4</v>
      </c>
      <c r="B78" s="242" t="s">
        <v>324</v>
      </c>
      <c r="C78" s="242" t="s">
        <v>325</v>
      </c>
      <c r="D78" s="252" t="s">
        <v>322</v>
      </c>
      <c r="E78" s="172" t="s">
        <v>301</v>
      </c>
      <c r="F78" s="265"/>
      <c r="G78" s="253">
        <f>73*200</f>
        <v>14600</v>
      </c>
      <c r="H78" s="265"/>
      <c r="I78" s="265"/>
      <c r="J78" s="253">
        <f>99*200</f>
        <v>19800</v>
      </c>
      <c r="K78" s="265"/>
      <c r="L78" s="265"/>
      <c r="M78" s="253">
        <f>106*200</f>
        <v>21200</v>
      </c>
      <c r="N78" s="265"/>
      <c r="O78" s="265"/>
      <c r="P78" s="265"/>
      <c r="Q78" s="266"/>
      <c r="R78" s="267"/>
    </row>
    <row r="79" spans="1:18" ht="12.75">
      <c r="A79" s="264"/>
      <c r="B79" s="242"/>
      <c r="C79" s="242"/>
      <c r="D79" s="254"/>
      <c r="E79" s="177"/>
      <c r="F79" s="268"/>
      <c r="G79" s="255"/>
      <c r="H79" s="268"/>
      <c r="I79" s="268"/>
      <c r="J79" s="255"/>
      <c r="K79" s="268"/>
      <c r="L79" s="268"/>
      <c r="M79" s="255"/>
      <c r="N79" s="268"/>
      <c r="O79" s="268"/>
      <c r="P79" s="268"/>
      <c r="Q79" s="266"/>
      <c r="R79" s="267"/>
    </row>
    <row r="80" spans="1:18" ht="12.75">
      <c r="A80" s="264"/>
      <c r="B80" s="242"/>
      <c r="C80" s="242"/>
      <c r="D80" s="254"/>
      <c r="E80" s="177"/>
      <c r="F80" s="268"/>
      <c r="G80" s="255"/>
      <c r="H80" s="268"/>
      <c r="I80" s="268"/>
      <c r="J80" s="255"/>
      <c r="K80" s="268"/>
      <c r="L80" s="268"/>
      <c r="M80" s="255"/>
      <c r="N80" s="268"/>
      <c r="O80" s="268"/>
      <c r="P80" s="268"/>
      <c r="Q80" s="266"/>
      <c r="R80" s="267"/>
    </row>
    <row r="81" spans="1:18" ht="12.75">
      <c r="A81" s="264"/>
      <c r="B81" s="242"/>
      <c r="C81" s="242"/>
      <c r="D81" s="254"/>
      <c r="E81" s="177"/>
      <c r="F81" s="268"/>
      <c r="G81" s="255"/>
      <c r="H81" s="268"/>
      <c r="I81" s="268"/>
      <c r="J81" s="255"/>
      <c r="K81" s="268"/>
      <c r="L81" s="268"/>
      <c r="M81" s="255"/>
      <c r="N81" s="268"/>
      <c r="O81" s="268"/>
      <c r="P81" s="268"/>
      <c r="Q81" s="266"/>
      <c r="R81" s="267"/>
    </row>
    <row r="82" spans="1:18" ht="12.75">
      <c r="A82" s="264"/>
      <c r="B82" s="242"/>
      <c r="C82" s="242"/>
      <c r="D82" s="254"/>
      <c r="E82" s="177"/>
      <c r="F82" s="268"/>
      <c r="G82" s="255"/>
      <c r="H82" s="268"/>
      <c r="I82" s="268"/>
      <c r="J82" s="255"/>
      <c r="K82" s="268"/>
      <c r="L82" s="268"/>
      <c r="M82" s="255"/>
      <c r="N82" s="268"/>
      <c r="O82" s="268"/>
      <c r="P82" s="268"/>
      <c r="Q82" s="266"/>
      <c r="R82" s="267"/>
    </row>
    <row r="83" spans="1:18" ht="12.75">
      <c r="A83" s="264"/>
      <c r="B83" s="242"/>
      <c r="C83" s="242"/>
      <c r="D83" s="254"/>
      <c r="E83" s="177"/>
      <c r="F83" s="268"/>
      <c r="G83" s="255"/>
      <c r="H83" s="268"/>
      <c r="I83" s="268"/>
      <c r="J83" s="255"/>
      <c r="K83" s="268"/>
      <c r="L83" s="268"/>
      <c r="M83" s="255"/>
      <c r="N83" s="268"/>
      <c r="O83" s="268"/>
      <c r="P83" s="268"/>
      <c r="Q83" s="266"/>
      <c r="R83" s="267"/>
    </row>
    <row r="84" spans="1:18" ht="12.75">
      <c r="A84" s="264"/>
      <c r="B84" s="242"/>
      <c r="C84" s="242"/>
      <c r="D84" s="254"/>
      <c r="E84" s="177"/>
      <c r="F84" s="268"/>
      <c r="G84" s="255"/>
      <c r="H84" s="268"/>
      <c r="I84" s="268"/>
      <c r="J84" s="255"/>
      <c r="K84" s="268"/>
      <c r="L84" s="268"/>
      <c r="M84" s="255"/>
      <c r="N84" s="268"/>
      <c r="O84" s="268"/>
      <c r="P84" s="268"/>
      <c r="Q84" s="266"/>
      <c r="R84" s="267"/>
    </row>
    <row r="85" spans="1:18" ht="12.75">
      <c r="A85" s="264"/>
      <c r="B85" s="242"/>
      <c r="C85" s="242"/>
      <c r="D85" s="254"/>
      <c r="E85" s="177"/>
      <c r="F85" s="268"/>
      <c r="G85" s="255"/>
      <c r="H85" s="268"/>
      <c r="I85" s="268"/>
      <c r="J85" s="255"/>
      <c r="K85" s="268"/>
      <c r="L85" s="268"/>
      <c r="M85" s="255"/>
      <c r="N85" s="268"/>
      <c r="O85" s="268"/>
      <c r="P85" s="268"/>
      <c r="Q85" s="266"/>
      <c r="R85" s="267"/>
    </row>
    <row r="86" spans="1:18" ht="12.75">
      <c r="A86" s="264"/>
      <c r="B86" s="242"/>
      <c r="C86" s="242"/>
      <c r="D86" s="254"/>
      <c r="E86" s="177"/>
      <c r="F86" s="268"/>
      <c r="G86" s="255"/>
      <c r="H86" s="268"/>
      <c r="I86" s="268"/>
      <c r="J86" s="255"/>
      <c r="K86" s="268"/>
      <c r="L86" s="268"/>
      <c r="M86" s="255"/>
      <c r="N86" s="268"/>
      <c r="O86" s="268"/>
      <c r="P86" s="268"/>
      <c r="Q86" s="266"/>
      <c r="R86" s="267"/>
    </row>
    <row r="87" spans="1:18" ht="12.75">
      <c r="A87" s="264"/>
      <c r="B87" s="242"/>
      <c r="C87" s="242"/>
      <c r="D87" s="254"/>
      <c r="E87" s="177"/>
      <c r="F87" s="268"/>
      <c r="G87" s="255"/>
      <c r="H87" s="268"/>
      <c r="I87" s="268"/>
      <c r="J87" s="255"/>
      <c r="K87" s="268"/>
      <c r="L87" s="268"/>
      <c r="M87" s="255"/>
      <c r="N87" s="268"/>
      <c r="O87" s="268"/>
      <c r="P87" s="268"/>
      <c r="Q87" s="266"/>
      <c r="R87" s="267"/>
    </row>
    <row r="88" spans="1:18" ht="12.75">
      <c r="A88" s="264"/>
      <c r="B88" s="242"/>
      <c r="C88" s="242"/>
      <c r="D88" s="254"/>
      <c r="E88" s="177"/>
      <c r="F88" s="268"/>
      <c r="G88" s="255"/>
      <c r="H88" s="268"/>
      <c r="I88" s="268"/>
      <c r="J88" s="255"/>
      <c r="K88" s="268"/>
      <c r="L88" s="268"/>
      <c r="M88" s="255"/>
      <c r="N88" s="268"/>
      <c r="O88" s="268"/>
      <c r="P88" s="268"/>
      <c r="Q88" s="266"/>
      <c r="R88" s="267"/>
    </row>
    <row r="89" spans="1:18" ht="12.75">
      <c r="A89" s="264"/>
      <c r="B89" s="242"/>
      <c r="C89" s="242"/>
      <c r="D89" s="254"/>
      <c r="E89" s="177"/>
      <c r="F89" s="268"/>
      <c r="G89" s="255"/>
      <c r="H89" s="268"/>
      <c r="I89" s="268"/>
      <c r="J89" s="255"/>
      <c r="K89" s="268"/>
      <c r="L89" s="268"/>
      <c r="M89" s="255"/>
      <c r="N89" s="268"/>
      <c r="O89" s="268"/>
      <c r="P89" s="268"/>
      <c r="Q89" s="266"/>
      <c r="R89" s="267"/>
    </row>
    <row r="90" spans="1:18" ht="12.75">
      <c r="A90" s="264"/>
      <c r="B90" s="242"/>
      <c r="C90" s="242"/>
      <c r="D90" s="254"/>
      <c r="E90" s="177"/>
      <c r="F90" s="268"/>
      <c r="G90" s="255"/>
      <c r="H90" s="268"/>
      <c r="I90" s="268"/>
      <c r="J90" s="255"/>
      <c r="K90" s="268"/>
      <c r="L90" s="268"/>
      <c r="M90" s="255"/>
      <c r="N90" s="268"/>
      <c r="O90" s="268"/>
      <c r="P90" s="268"/>
      <c r="Q90" s="266"/>
      <c r="R90" s="267"/>
    </row>
    <row r="91" spans="1:18" ht="12.75">
      <c r="A91" s="264"/>
      <c r="B91" s="242"/>
      <c r="C91" s="242"/>
      <c r="D91" s="254"/>
      <c r="E91" s="177"/>
      <c r="F91" s="268"/>
      <c r="G91" s="255"/>
      <c r="H91" s="268"/>
      <c r="I91" s="268"/>
      <c r="J91" s="255"/>
      <c r="K91" s="268"/>
      <c r="L91" s="268"/>
      <c r="M91" s="255"/>
      <c r="N91" s="268"/>
      <c r="O91" s="268"/>
      <c r="P91" s="268"/>
      <c r="Q91" s="266"/>
      <c r="R91" s="267"/>
    </row>
    <row r="92" spans="1:18" ht="12.75">
      <c r="A92" s="264"/>
      <c r="B92" s="242"/>
      <c r="C92" s="242"/>
      <c r="D92" s="254"/>
      <c r="E92" s="177"/>
      <c r="F92" s="268"/>
      <c r="G92" s="255"/>
      <c r="H92" s="268"/>
      <c r="I92" s="268"/>
      <c r="J92" s="255"/>
      <c r="K92" s="268"/>
      <c r="L92" s="268"/>
      <c r="M92" s="255"/>
      <c r="N92" s="268"/>
      <c r="O92" s="268"/>
      <c r="P92" s="268"/>
      <c r="Q92" s="266"/>
      <c r="R92" s="267"/>
    </row>
    <row r="93" spans="1:18" ht="12.75">
      <c r="A93" s="264"/>
      <c r="B93" s="242"/>
      <c r="C93" s="242"/>
      <c r="D93" s="254"/>
      <c r="E93" s="177"/>
      <c r="F93" s="268"/>
      <c r="G93" s="255"/>
      <c r="H93" s="268"/>
      <c r="I93" s="268"/>
      <c r="J93" s="255"/>
      <c r="K93" s="268"/>
      <c r="L93" s="268"/>
      <c r="M93" s="255"/>
      <c r="N93" s="268"/>
      <c r="O93" s="268"/>
      <c r="P93" s="268"/>
      <c r="Q93" s="266"/>
      <c r="R93" s="267"/>
    </row>
    <row r="94" spans="1:18" ht="12.75">
      <c r="A94" s="264"/>
      <c r="B94" s="242"/>
      <c r="C94" s="242"/>
      <c r="D94" s="256"/>
      <c r="E94" s="177"/>
      <c r="F94" s="269"/>
      <c r="G94" s="257"/>
      <c r="H94" s="269"/>
      <c r="I94" s="269"/>
      <c r="J94" s="257"/>
      <c r="K94" s="269"/>
      <c r="L94" s="269"/>
      <c r="M94" s="257"/>
      <c r="N94" s="269"/>
      <c r="O94" s="269"/>
      <c r="P94" s="269"/>
      <c r="Q94" s="266"/>
      <c r="R94" s="267"/>
    </row>
    <row r="95" spans="1:18" ht="12.75">
      <c r="A95" s="264"/>
      <c r="B95" s="242"/>
      <c r="C95" s="242"/>
      <c r="D95" s="270" t="s">
        <v>114</v>
      </c>
      <c r="E95" s="173"/>
      <c r="F95" s="271"/>
      <c r="G95" s="272">
        <f>SUM(G78)</f>
        <v>14600</v>
      </c>
      <c r="H95" s="271"/>
      <c r="I95" s="271"/>
      <c r="J95" s="272">
        <f>SUM(J78)</f>
        <v>19800</v>
      </c>
      <c r="K95" s="271"/>
      <c r="L95" s="271"/>
      <c r="M95" s="272">
        <f>SUM(M78)</f>
        <v>21200</v>
      </c>
      <c r="N95" s="271"/>
      <c r="O95" s="271"/>
      <c r="P95" s="271"/>
      <c r="Q95" s="273"/>
      <c r="R95" s="267"/>
    </row>
    <row r="96" spans="1:18" ht="63.75">
      <c r="A96" s="274">
        <v>5</v>
      </c>
      <c r="B96" s="275" t="s">
        <v>326</v>
      </c>
      <c r="C96" s="276" t="s">
        <v>327</v>
      </c>
      <c r="D96" s="277"/>
      <c r="E96" s="278" t="s">
        <v>328</v>
      </c>
      <c r="F96" s="279" t="s">
        <v>329</v>
      </c>
      <c r="G96" s="280"/>
      <c r="H96" s="280"/>
      <c r="I96" s="280"/>
      <c r="J96" s="280"/>
      <c r="K96" s="280"/>
      <c r="L96" s="280"/>
      <c r="M96" s="280"/>
      <c r="N96" s="280"/>
      <c r="O96" s="280"/>
      <c r="P96" s="281"/>
      <c r="Q96" s="266"/>
      <c r="R96" s="267"/>
    </row>
    <row r="97" spans="1:18" ht="25.5">
      <c r="A97" s="282"/>
      <c r="B97" s="283"/>
      <c r="C97" s="275" t="s">
        <v>326</v>
      </c>
      <c r="D97" s="284" t="s">
        <v>300</v>
      </c>
      <c r="E97" s="84" t="s">
        <v>330</v>
      </c>
      <c r="F97" s="285">
        <v>280000</v>
      </c>
      <c r="G97" s="286"/>
      <c r="H97" s="287"/>
      <c r="I97" s="287"/>
      <c r="J97" s="287"/>
      <c r="K97" s="287"/>
      <c r="L97" s="287"/>
      <c r="M97" s="287"/>
      <c r="N97" s="287"/>
      <c r="O97" s="287"/>
      <c r="P97" s="287"/>
      <c r="Q97" s="266"/>
      <c r="R97" s="267"/>
    </row>
    <row r="98" spans="1:18" ht="38.25">
      <c r="A98" s="282"/>
      <c r="B98" s="283"/>
      <c r="C98" s="283"/>
      <c r="D98" s="288" t="s">
        <v>302</v>
      </c>
      <c r="E98" s="289"/>
      <c r="F98" s="285">
        <v>280000</v>
      </c>
      <c r="G98" s="286"/>
      <c r="H98" s="287"/>
      <c r="I98" s="287"/>
      <c r="J98" s="287"/>
      <c r="K98" s="287"/>
      <c r="L98" s="287"/>
      <c r="M98" s="287"/>
      <c r="N98" s="287"/>
      <c r="O98" s="287"/>
      <c r="P98" s="287"/>
      <c r="Q98" s="266"/>
      <c r="R98" s="267"/>
    </row>
    <row r="99" spans="1:18" ht="25.5">
      <c r="A99" s="282"/>
      <c r="B99" s="283"/>
      <c r="C99" s="283"/>
      <c r="D99" s="288" t="s">
        <v>303</v>
      </c>
      <c r="E99" s="289"/>
      <c r="F99" s="285">
        <v>340000</v>
      </c>
      <c r="G99" s="286"/>
      <c r="H99" s="287"/>
      <c r="I99" s="287"/>
      <c r="J99" s="287"/>
      <c r="K99" s="287"/>
      <c r="L99" s="287"/>
      <c r="M99" s="287"/>
      <c r="N99" s="287"/>
      <c r="O99" s="287"/>
      <c r="P99" s="287"/>
      <c r="Q99" s="266"/>
      <c r="R99" s="267"/>
    </row>
    <row r="100" spans="1:18" ht="25.5">
      <c r="A100" s="282"/>
      <c r="B100" s="283"/>
      <c r="C100" s="283"/>
      <c r="D100" s="284" t="s">
        <v>307</v>
      </c>
      <c r="E100" s="289"/>
      <c r="F100" s="285">
        <v>280000</v>
      </c>
      <c r="G100" s="286"/>
      <c r="H100" s="287"/>
      <c r="I100" s="287"/>
      <c r="J100" s="287"/>
      <c r="K100" s="287"/>
      <c r="L100" s="287"/>
      <c r="M100" s="287"/>
      <c r="N100" s="287"/>
      <c r="O100" s="287"/>
      <c r="P100" s="287"/>
      <c r="Q100" s="266"/>
      <c r="R100" s="267"/>
    </row>
    <row r="101" spans="1:18" ht="51">
      <c r="A101" s="282"/>
      <c r="B101" s="283"/>
      <c r="C101" s="283"/>
      <c r="D101" s="284" t="s">
        <v>310</v>
      </c>
      <c r="E101" s="289"/>
      <c r="F101" s="285">
        <v>280000</v>
      </c>
      <c r="G101" s="286"/>
      <c r="H101" s="287"/>
      <c r="I101" s="287"/>
      <c r="J101" s="287"/>
      <c r="K101" s="287"/>
      <c r="L101" s="287"/>
      <c r="M101" s="287"/>
      <c r="N101" s="287"/>
      <c r="O101" s="287"/>
      <c r="P101" s="287"/>
      <c r="Q101" s="266"/>
      <c r="R101" s="267"/>
    </row>
    <row r="102" spans="1:18" ht="38.25">
      <c r="A102" s="282"/>
      <c r="B102" s="283"/>
      <c r="C102" s="283"/>
      <c r="D102" s="284" t="s">
        <v>311</v>
      </c>
      <c r="E102" s="289"/>
      <c r="F102" s="285">
        <v>280000</v>
      </c>
      <c r="G102" s="286"/>
      <c r="H102" s="287"/>
      <c r="I102" s="287"/>
      <c r="J102" s="287"/>
      <c r="K102" s="287"/>
      <c r="L102" s="287"/>
      <c r="M102" s="287"/>
      <c r="N102" s="287"/>
      <c r="O102" s="287"/>
      <c r="P102" s="287"/>
      <c r="Q102" s="266"/>
      <c r="R102" s="267"/>
    </row>
    <row r="103" spans="1:18" ht="25.5">
      <c r="A103" s="282"/>
      <c r="B103" s="283"/>
      <c r="C103" s="283"/>
      <c r="D103" s="284" t="s">
        <v>314</v>
      </c>
      <c r="E103" s="289"/>
      <c r="F103" s="285">
        <v>310000</v>
      </c>
      <c r="G103" s="286"/>
      <c r="H103" s="287"/>
      <c r="I103" s="287"/>
      <c r="J103" s="287"/>
      <c r="K103" s="287"/>
      <c r="L103" s="287"/>
      <c r="M103" s="287"/>
      <c r="N103" s="287"/>
      <c r="O103" s="287"/>
      <c r="P103" s="287"/>
      <c r="Q103" s="266"/>
      <c r="R103" s="267"/>
    </row>
    <row r="104" spans="1:18" ht="38.25">
      <c r="A104" s="282"/>
      <c r="B104" s="283"/>
      <c r="C104" s="283"/>
      <c r="D104" s="288" t="s">
        <v>315</v>
      </c>
      <c r="E104" s="289"/>
      <c r="F104" s="285">
        <v>118610</v>
      </c>
      <c r="G104" s="286"/>
      <c r="H104" s="287"/>
      <c r="I104" s="287"/>
      <c r="J104" s="287"/>
      <c r="K104" s="287"/>
      <c r="L104" s="287"/>
      <c r="M104" s="287"/>
      <c r="N104" s="287"/>
      <c r="O104" s="287"/>
      <c r="P104" s="287"/>
      <c r="Q104" s="266"/>
      <c r="R104" s="267"/>
    </row>
    <row r="105" spans="1:18" ht="25.5">
      <c r="A105" s="282"/>
      <c r="B105" s="283"/>
      <c r="C105" s="283"/>
      <c r="D105" s="284" t="s">
        <v>316</v>
      </c>
      <c r="E105" s="289"/>
      <c r="F105" s="285">
        <v>380000</v>
      </c>
      <c r="G105" s="286"/>
      <c r="H105" s="287"/>
      <c r="I105" s="287"/>
      <c r="J105" s="287"/>
      <c r="K105" s="287"/>
      <c r="L105" s="287"/>
      <c r="M105" s="287"/>
      <c r="N105" s="287"/>
      <c r="O105" s="287"/>
      <c r="P105" s="287"/>
      <c r="Q105" s="266"/>
      <c r="R105" s="267"/>
    </row>
    <row r="106" spans="1:18" ht="38.25">
      <c r="A106" s="282"/>
      <c r="B106" s="283"/>
      <c r="C106" s="283"/>
      <c r="D106" s="290" t="s">
        <v>317</v>
      </c>
      <c r="E106" s="289"/>
      <c r="F106" s="285">
        <v>30000</v>
      </c>
      <c r="G106" s="286"/>
      <c r="H106" s="287"/>
      <c r="I106" s="243"/>
      <c r="J106" s="243"/>
      <c r="K106" s="243"/>
      <c r="L106" s="243"/>
      <c r="M106" s="243"/>
      <c r="N106" s="243"/>
      <c r="O106" s="243"/>
      <c r="P106" s="243"/>
      <c r="Q106" s="266"/>
      <c r="R106" s="267"/>
    </row>
    <row r="107" spans="1:18" ht="12.75">
      <c r="A107" s="282"/>
      <c r="B107" s="283"/>
      <c r="C107" s="291"/>
      <c r="D107" s="270" t="s">
        <v>114</v>
      </c>
      <c r="E107" s="85"/>
      <c r="G107" s="292">
        <v>2578610</v>
      </c>
      <c r="H107" s="243"/>
      <c r="I107" s="243"/>
      <c r="J107" s="243"/>
      <c r="K107" s="243"/>
      <c r="L107" s="243"/>
      <c r="M107" s="243"/>
      <c r="N107" s="243"/>
      <c r="O107" s="243"/>
      <c r="P107" s="243"/>
      <c r="Q107" s="266"/>
      <c r="R107" s="267"/>
    </row>
    <row r="108" spans="1:18" ht="25.5">
      <c r="A108" s="282"/>
      <c r="B108" s="283"/>
      <c r="C108" s="275" t="s">
        <v>331</v>
      </c>
      <c r="D108" s="284" t="s">
        <v>300</v>
      </c>
      <c r="E108" s="84" t="s">
        <v>332</v>
      </c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>
        <v>1400000</v>
      </c>
      <c r="Q108" s="266"/>
      <c r="R108" s="267"/>
    </row>
    <row r="109" spans="1:18" ht="38.25">
      <c r="A109" s="282"/>
      <c r="B109" s="283"/>
      <c r="C109" s="283"/>
      <c r="D109" s="288" t="s">
        <v>302</v>
      </c>
      <c r="E109" s="289"/>
      <c r="F109" s="243"/>
      <c r="G109" s="243"/>
      <c r="H109" s="293">
        <v>1800000</v>
      </c>
      <c r="I109" s="294"/>
      <c r="J109" s="294"/>
      <c r="K109" s="294"/>
      <c r="L109" s="295"/>
      <c r="M109" s="243"/>
      <c r="N109" s="243"/>
      <c r="O109" s="243"/>
      <c r="P109" s="243">
        <v>2420000</v>
      </c>
      <c r="Q109" s="266"/>
      <c r="R109" s="267"/>
    </row>
    <row r="110" spans="1:18" ht="25.5">
      <c r="A110" s="282"/>
      <c r="B110" s="283"/>
      <c r="C110" s="283"/>
      <c r="D110" s="288" t="s">
        <v>303</v>
      </c>
      <c r="E110" s="289"/>
      <c r="F110" s="243"/>
      <c r="G110" s="243"/>
      <c r="H110" s="293">
        <v>1000000</v>
      </c>
      <c r="I110" s="294"/>
      <c r="J110" s="294"/>
      <c r="K110" s="294"/>
      <c r="L110" s="295"/>
      <c r="M110" s="243"/>
      <c r="N110" s="243"/>
      <c r="O110" s="243"/>
      <c r="P110" s="243"/>
      <c r="Q110" s="266"/>
      <c r="R110" s="267"/>
    </row>
    <row r="111" spans="1:18" ht="25.5">
      <c r="A111" s="282"/>
      <c r="B111" s="283"/>
      <c r="C111" s="283"/>
      <c r="D111" s="284" t="s">
        <v>307</v>
      </c>
      <c r="E111" s="289"/>
      <c r="F111" s="243"/>
      <c r="G111" s="243">
        <v>10400000</v>
      </c>
      <c r="H111" s="296"/>
      <c r="I111" s="296"/>
      <c r="J111" s="296"/>
      <c r="K111" s="296"/>
      <c r="L111" s="296"/>
      <c r="M111" s="243"/>
      <c r="N111" s="243"/>
      <c r="O111" s="243"/>
      <c r="P111" s="243"/>
      <c r="Q111" s="266"/>
      <c r="R111" s="267"/>
    </row>
    <row r="112" spans="1:18" ht="51">
      <c r="A112" s="282"/>
      <c r="B112" s="283"/>
      <c r="C112" s="283"/>
      <c r="D112" s="284" t="s">
        <v>310</v>
      </c>
      <c r="E112" s="289"/>
      <c r="F112" s="243"/>
      <c r="G112" s="243"/>
      <c r="H112" s="297">
        <v>600000</v>
      </c>
      <c r="I112" s="298"/>
      <c r="J112" s="298"/>
      <c r="K112" s="298"/>
      <c r="L112" s="299"/>
      <c r="M112" s="243"/>
      <c r="N112" s="243"/>
      <c r="O112" s="243"/>
      <c r="P112" s="243"/>
      <c r="Q112" s="266"/>
      <c r="R112" s="267"/>
    </row>
    <row r="113" spans="1:18" ht="38.25">
      <c r="A113" s="282"/>
      <c r="B113" s="283"/>
      <c r="C113" s="283"/>
      <c r="D113" s="284" t="s">
        <v>311</v>
      </c>
      <c r="E113" s="289"/>
      <c r="F113" s="243"/>
      <c r="G113" s="243"/>
      <c r="H113" s="297">
        <v>1300000</v>
      </c>
      <c r="I113" s="298"/>
      <c r="J113" s="298"/>
      <c r="K113" s="298"/>
      <c r="L113" s="299"/>
      <c r="M113" s="243"/>
      <c r="N113" s="243"/>
      <c r="O113" s="243"/>
      <c r="P113" s="243"/>
      <c r="Q113" s="266"/>
      <c r="R113" s="267"/>
    </row>
    <row r="114" spans="1:18" ht="25.5">
      <c r="A114" s="282"/>
      <c r="B114" s="283"/>
      <c r="C114" s="283"/>
      <c r="D114" s="284" t="s">
        <v>314</v>
      </c>
      <c r="E114" s="289"/>
      <c r="F114" s="243"/>
      <c r="G114" s="243"/>
      <c r="H114" s="297">
        <v>1600000</v>
      </c>
      <c r="I114" s="298"/>
      <c r="J114" s="298"/>
      <c r="K114" s="298"/>
      <c r="L114" s="299"/>
      <c r="M114" s="243"/>
      <c r="N114" s="243"/>
      <c r="O114" s="243"/>
      <c r="P114" s="243"/>
      <c r="Q114" s="266"/>
      <c r="R114" s="267"/>
    </row>
    <row r="115" spans="1:18" ht="38.25">
      <c r="A115" s="282"/>
      <c r="B115" s="283"/>
      <c r="C115" s="283"/>
      <c r="D115" s="288" t="s">
        <v>315</v>
      </c>
      <c r="E115" s="289"/>
      <c r="F115" s="243"/>
      <c r="G115" s="243"/>
      <c r="H115" s="297">
        <v>10000000</v>
      </c>
      <c r="I115" s="298"/>
      <c r="J115" s="298"/>
      <c r="K115" s="298"/>
      <c r="L115" s="299"/>
      <c r="M115" s="243"/>
      <c r="N115" s="243"/>
      <c r="O115" s="243"/>
      <c r="P115" s="243">
        <v>13000000</v>
      </c>
      <c r="Q115" s="266"/>
      <c r="R115" s="267"/>
    </row>
    <row r="116" spans="1:18" ht="25.5">
      <c r="A116" s="282"/>
      <c r="B116" s="283"/>
      <c r="C116" s="283"/>
      <c r="D116" s="284" t="s">
        <v>316</v>
      </c>
      <c r="E116" s="289"/>
      <c r="F116" s="243"/>
      <c r="G116" s="243"/>
      <c r="H116" s="293">
        <v>1800000</v>
      </c>
      <c r="I116" s="294"/>
      <c r="J116" s="294"/>
      <c r="K116" s="294"/>
      <c r="L116" s="295"/>
      <c r="M116" s="243"/>
      <c r="N116" s="243"/>
      <c r="O116" s="243"/>
      <c r="P116" s="243"/>
      <c r="Q116" s="266"/>
      <c r="R116" s="267"/>
    </row>
    <row r="117" spans="1:18" ht="38.25">
      <c r="A117" s="282"/>
      <c r="B117" s="283"/>
      <c r="C117" s="283"/>
      <c r="D117" s="290" t="s">
        <v>317</v>
      </c>
      <c r="E117" s="289"/>
      <c r="F117" s="243"/>
      <c r="G117" s="243"/>
      <c r="H117" s="297">
        <v>1700000</v>
      </c>
      <c r="I117" s="298"/>
      <c r="J117" s="298"/>
      <c r="K117" s="298"/>
      <c r="L117" s="299"/>
      <c r="M117" s="243"/>
      <c r="N117" s="243"/>
      <c r="O117" s="243"/>
      <c r="P117" s="243"/>
      <c r="Q117" s="266"/>
      <c r="R117" s="267"/>
    </row>
    <row r="118" spans="1:18" ht="12.75">
      <c r="A118" s="300"/>
      <c r="B118" s="291"/>
      <c r="C118" s="291"/>
      <c r="D118" s="270" t="s">
        <v>114</v>
      </c>
      <c r="E118" s="85"/>
      <c r="F118" s="243"/>
      <c r="G118" s="250">
        <v>10400000</v>
      </c>
      <c r="H118" s="301">
        <v>3960000</v>
      </c>
      <c r="I118" s="301">
        <v>3960000</v>
      </c>
      <c r="J118" s="301">
        <v>3960000</v>
      </c>
      <c r="K118" s="301">
        <v>3960000</v>
      </c>
      <c r="L118" s="301">
        <v>3960000</v>
      </c>
      <c r="M118" s="243"/>
      <c r="N118" s="243"/>
      <c r="O118" s="243"/>
      <c r="P118" s="302">
        <v>16820000</v>
      </c>
      <c r="Q118" s="266"/>
      <c r="R118" s="267"/>
    </row>
    <row r="119" spans="1:18" ht="76.5">
      <c r="A119" s="303">
        <v>6</v>
      </c>
      <c r="B119" s="275" t="s">
        <v>333</v>
      </c>
      <c r="C119" s="304" t="s">
        <v>334</v>
      </c>
      <c r="D119" s="290" t="s">
        <v>335</v>
      </c>
      <c r="E119" s="305" t="s">
        <v>336</v>
      </c>
      <c r="F119" s="243"/>
      <c r="G119" s="250"/>
      <c r="H119" s="241"/>
      <c r="I119" s="301">
        <v>1500000</v>
      </c>
      <c r="J119" s="301">
        <v>1500000</v>
      </c>
      <c r="K119" s="241"/>
      <c r="L119" s="241"/>
      <c r="M119" s="243"/>
      <c r="N119" s="243"/>
      <c r="O119" s="243"/>
      <c r="P119" s="302"/>
      <c r="Q119" s="266"/>
      <c r="R119" s="267"/>
    </row>
    <row r="120" spans="1:18" ht="140.25">
      <c r="A120" s="303">
        <v>7</v>
      </c>
      <c r="B120" s="283"/>
      <c r="C120" s="240" t="s">
        <v>337</v>
      </c>
      <c r="D120" s="290" t="s">
        <v>338</v>
      </c>
      <c r="E120" s="305" t="s">
        <v>339</v>
      </c>
      <c r="F120" s="243"/>
      <c r="G120" s="250"/>
      <c r="H120" s="241"/>
      <c r="I120" s="241"/>
      <c r="J120" s="241">
        <v>1133333.3333333333</v>
      </c>
      <c r="K120" s="241">
        <v>1133333.3333333333</v>
      </c>
      <c r="L120" s="241">
        <v>1133333.3333333333</v>
      </c>
      <c r="M120" s="243"/>
      <c r="N120" s="243"/>
      <c r="O120" s="243"/>
      <c r="P120" s="302"/>
      <c r="Q120" s="266"/>
      <c r="R120" s="267"/>
    </row>
    <row r="121" spans="1:18" ht="25.5">
      <c r="A121" s="274">
        <v>8</v>
      </c>
      <c r="B121" s="283"/>
      <c r="C121" s="275" t="s">
        <v>340</v>
      </c>
      <c r="D121" s="284" t="s">
        <v>300</v>
      </c>
      <c r="E121" s="84" t="s">
        <v>341</v>
      </c>
      <c r="F121" s="277"/>
      <c r="G121" s="293">
        <v>500000</v>
      </c>
      <c r="H121" s="294"/>
      <c r="I121" s="295"/>
      <c r="J121" s="277"/>
      <c r="K121" s="277"/>
      <c r="L121" s="277"/>
      <c r="M121" s="277"/>
      <c r="N121" s="277"/>
      <c r="O121" s="277"/>
      <c r="P121" s="302"/>
      <c r="Q121" s="266"/>
      <c r="R121" s="267"/>
    </row>
    <row r="122" spans="1:18" ht="38.25">
      <c r="A122" s="282"/>
      <c r="B122" s="283"/>
      <c r="C122" s="283"/>
      <c r="D122" s="288" t="s">
        <v>302</v>
      </c>
      <c r="E122" s="289"/>
      <c r="F122" s="277"/>
      <c r="G122" s="293">
        <v>500000</v>
      </c>
      <c r="H122" s="294"/>
      <c r="I122" s="295"/>
      <c r="J122" s="277"/>
      <c r="K122" s="277"/>
      <c r="L122" s="277"/>
      <c r="M122" s="277"/>
      <c r="N122" s="277"/>
      <c r="O122" s="277"/>
      <c r="P122" s="277"/>
      <c r="Q122" s="266"/>
      <c r="R122" s="267"/>
    </row>
    <row r="123" spans="1:18" ht="25.5">
      <c r="A123" s="282"/>
      <c r="B123" s="283"/>
      <c r="C123" s="283"/>
      <c r="D123" s="288" t="s">
        <v>303</v>
      </c>
      <c r="E123" s="289"/>
      <c r="F123" s="277"/>
      <c r="G123" s="293">
        <v>500000</v>
      </c>
      <c r="H123" s="294"/>
      <c r="I123" s="295"/>
      <c r="J123" s="277"/>
      <c r="K123" s="277"/>
      <c r="L123" s="277"/>
      <c r="M123" s="277"/>
      <c r="N123" s="277"/>
      <c r="O123" s="277"/>
      <c r="P123" s="277"/>
      <c r="Q123" s="266"/>
      <c r="R123" s="267"/>
    </row>
    <row r="124" spans="1:18" ht="38.25">
      <c r="A124" s="282"/>
      <c r="B124" s="283"/>
      <c r="C124" s="283"/>
      <c r="D124" s="288" t="s">
        <v>304</v>
      </c>
      <c r="E124" s="289"/>
      <c r="F124" s="277"/>
      <c r="G124" s="293">
        <v>500000</v>
      </c>
      <c r="H124" s="294"/>
      <c r="I124" s="295"/>
      <c r="J124" s="277"/>
      <c r="K124" s="277"/>
      <c r="L124" s="277"/>
      <c r="M124" s="277"/>
      <c r="N124" s="277"/>
      <c r="O124" s="277"/>
      <c r="P124" s="277"/>
      <c r="Q124" s="266"/>
      <c r="R124" s="267"/>
    </row>
    <row r="125" spans="1:18" ht="38.25">
      <c r="A125" s="282"/>
      <c r="B125" s="283"/>
      <c r="C125" s="283"/>
      <c r="D125" s="288" t="s">
        <v>305</v>
      </c>
      <c r="E125" s="289"/>
      <c r="F125" s="277"/>
      <c r="G125" s="293">
        <v>500000</v>
      </c>
      <c r="H125" s="294"/>
      <c r="I125" s="295"/>
      <c r="J125" s="277"/>
      <c r="K125" s="277"/>
      <c r="L125" s="277"/>
      <c r="M125" s="277"/>
      <c r="N125" s="277"/>
      <c r="O125" s="277"/>
      <c r="P125" s="277"/>
      <c r="Q125" s="266"/>
      <c r="R125" s="267"/>
    </row>
    <row r="126" spans="1:18" ht="25.5">
      <c r="A126" s="282"/>
      <c r="B126" s="283"/>
      <c r="C126" s="283"/>
      <c r="D126" s="284" t="s">
        <v>306</v>
      </c>
      <c r="E126" s="289"/>
      <c r="F126" s="277"/>
      <c r="G126" s="293">
        <v>500000</v>
      </c>
      <c r="H126" s="294"/>
      <c r="I126" s="295"/>
      <c r="J126" s="277"/>
      <c r="K126" s="277"/>
      <c r="L126" s="277"/>
      <c r="M126" s="277"/>
      <c r="N126" s="277"/>
      <c r="O126" s="277"/>
      <c r="P126" s="277"/>
      <c r="Q126" s="266"/>
      <c r="R126" s="267"/>
    </row>
    <row r="127" spans="1:18" ht="25.5">
      <c r="A127" s="282"/>
      <c r="B127" s="283"/>
      <c r="C127" s="283"/>
      <c r="D127" s="284" t="s">
        <v>307</v>
      </c>
      <c r="E127" s="289"/>
      <c r="F127" s="277"/>
      <c r="G127" s="293">
        <v>500000</v>
      </c>
      <c r="H127" s="294"/>
      <c r="I127" s="295"/>
      <c r="J127" s="277"/>
      <c r="K127" s="277"/>
      <c r="L127" s="277"/>
      <c r="M127" s="277"/>
      <c r="N127" s="277"/>
      <c r="O127" s="277"/>
      <c r="P127" s="277"/>
      <c r="Q127" s="266"/>
      <c r="R127" s="267"/>
    </row>
    <row r="128" spans="1:18" ht="25.5">
      <c r="A128" s="282"/>
      <c r="B128" s="283"/>
      <c r="C128" s="283"/>
      <c r="D128" s="288" t="s">
        <v>308</v>
      </c>
      <c r="E128" s="289"/>
      <c r="F128" s="277"/>
      <c r="G128" s="293">
        <v>500000</v>
      </c>
      <c r="H128" s="294"/>
      <c r="I128" s="295"/>
      <c r="J128" s="277"/>
      <c r="K128" s="277"/>
      <c r="L128" s="277"/>
      <c r="M128" s="277"/>
      <c r="N128" s="277"/>
      <c r="O128" s="277"/>
      <c r="P128" s="277"/>
      <c r="Q128" s="266"/>
      <c r="R128" s="267"/>
    </row>
    <row r="129" spans="1:18" ht="25.5">
      <c r="A129" s="282"/>
      <c r="B129" s="283"/>
      <c r="C129" s="283"/>
      <c r="D129" s="284" t="s">
        <v>309</v>
      </c>
      <c r="E129" s="289"/>
      <c r="F129" s="277"/>
      <c r="G129" s="293">
        <v>500000</v>
      </c>
      <c r="H129" s="294"/>
      <c r="I129" s="295"/>
      <c r="J129" s="277"/>
      <c r="K129" s="277"/>
      <c r="L129" s="277"/>
      <c r="M129" s="277"/>
      <c r="N129" s="277"/>
      <c r="O129" s="277"/>
      <c r="P129" s="277"/>
      <c r="Q129" s="266"/>
      <c r="R129" s="267"/>
    </row>
    <row r="130" spans="1:18" ht="51">
      <c r="A130" s="282"/>
      <c r="B130" s="283"/>
      <c r="C130" s="283"/>
      <c r="D130" s="284" t="s">
        <v>310</v>
      </c>
      <c r="E130" s="289"/>
      <c r="F130" s="277"/>
      <c r="G130" s="293">
        <v>500000</v>
      </c>
      <c r="H130" s="294"/>
      <c r="I130" s="295"/>
      <c r="J130" s="277"/>
      <c r="K130" s="277"/>
      <c r="L130" s="277"/>
      <c r="M130" s="277"/>
      <c r="N130" s="277"/>
      <c r="O130" s="277"/>
      <c r="P130" s="277"/>
      <c r="Q130" s="266"/>
      <c r="R130" s="267"/>
    </row>
    <row r="131" spans="1:18" ht="38.25">
      <c r="A131" s="282"/>
      <c r="B131" s="283"/>
      <c r="C131" s="283"/>
      <c r="D131" s="284" t="s">
        <v>311</v>
      </c>
      <c r="E131" s="289"/>
      <c r="F131" s="277"/>
      <c r="G131" s="293">
        <v>500000</v>
      </c>
      <c r="H131" s="294"/>
      <c r="I131" s="295"/>
      <c r="J131" s="277"/>
      <c r="K131" s="277"/>
      <c r="L131" s="277"/>
      <c r="M131" s="277"/>
      <c r="N131" s="277"/>
      <c r="O131" s="277"/>
      <c r="P131" s="277"/>
      <c r="Q131" s="266"/>
      <c r="R131" s="267"/>
    </row>
    <row r="132" spans="1:18" ht="38.25">
      <c r="A132" s="282"/>
      <c r="B132" s="283"/>
      <c r="C132" s="283"/>
      <c r="D132" s="288" t="s">
        <v>312</v>
      </c>
      <c r="E132" s="289"/>
      <c r="F132" s="277"/>
      <c r="G132" s="293">
        <v>500000</v>
      </c>
      <c r="H132" s="294"/>
      <c r="I132" s="295"/>
      <c r="J132" s="277"/>
      <c r="K132" s="277"/>
      <c r="L132" s="277"/>
      <c r="M132" s="277"/>
      <c r="N132" s="277"/>
      <c r="O132" s="277"/>
      <c r="P132" s="277"/>
      <c r="Q132" s="266"/>
      <c r="R132" s="267"/>
    </row>
    <row r="133" spans="1:18" ht="38.25">
      <c r="A133" s="282"/>
      <c r="B133" s="283"/>
      <c r="C133" s="283"/>
      <c r="D133" s="288" t="s">
        <v>313</v>
      </c>
      <c r="E133" s="289"/>
      <c r="F133" s="277"/>
      <c r="G133" s="293">
        <v>500000</v>
      </c>
      <c r="H133" s="294"/>
      <c r="I133" s="295"/>
      <c r="J133" s="277"/>
      <c r="K133" s="277"/>
      <c r="L133" s="277"/>
      <c r="M133" s="277"/>
      <c r="N133" s="277"/>
      <c r="O133" s="277"/>
      <c r="P133" s="277"/>
      <c r="Q133" s="266"/>
      <c r="R133" s="267"/>
    </row>
    <row r="134" spans="1:18" ht="25.5">
      <c r="A134" s="282"/>
      <c r="B134" s="283"/>
      <c r="C134" s="283"/>
      <c r="D134" s="284" t="s">
        <v>314</v>
      </c>
      <c r="E134" s="289"/>
      <c r="F134" s="277"/>
      <c r="G134" s="293">
        <v>500000</v>
      </c>
      <c r="H134" s="294"/>
      <c r="I134" s="295"/>
      <c r="J134" s="277"/>
      <c r="K134" s="277"/>
      <c r="L134" s="277"/>
      <c r="M134" s="277"/>
      <c r="N134" s="277"/>
      <c r="O134" s="277"/>
      <c r="P134" s="277"/>
      <c r="Q134" s="266"/>
      <c r="R134" s="267"/>
    </row>
    <row r="135" spans="1:18" ht="38.25">
      <c r="A135" s="282"/>
      <c r="B135" s="283"/>
      <c r="C135" s="283"/>
      <c r="D135" s="288" t="s">
        <v>315</v>
      </c>
      <c r="E135" s="289"/>
      <c r="F135" s="277"/>
      <c r="G135" s="293">
        <v>500000</v>
      </c>
      <c r="H135" s="294"/>
      <c r="I135" s="295"/>
      <c r="J135" s="277"/>
      <c r="K135" s="277"/>
      <c r="L135" s="277"/>
      <c r="M135" s="277"/>
      <c r="N135" s="277"/>
      <c r="O135" s="277"/>
      <c r="P135" s="277"/>
      <c r="Q135" s="266"/>
      <c r="R135" s="267"/>
    </row>
    <row r="136" spans="1:18" ht="25.5">
      <c r="A136" s="282"/>
      <c r="B136" s="283"/>
      <c r="C136" s="283"/>
      <c r="D136" s="284" t="s">
        <v>316</v>
      </c>
      <c r="E136" s="289"/>
      <c r="F136" s="277"/>
      <c r="G136" s="293">
        <v>500000</v>
      </c>
      <c r="H136" s="294"/>
      <c r="I136" s="295"/>
      <c r="J136" s="277"/>
      <c r="K136" s="277"/>
      <c r="L136" s="277"/>
      <c r="M136" s="277"/>
      <c r="N136" s="277"/>
      <c r="O136" s="277"/>
      <c r="P136" s="277"/>
      <c r="Q136" s="266"/>
      <c r="R136" s="267"/>
    </row>
    <row r="137" spans="1:18" ht="38.25">
      <c r="A137" s="282"/>
      <c r="B137" s="283"/>
      <c r="C137" s="283"/>
      <c r="D137" s="290" t="s">
        <v>317</v>
      </c>
      <c r="E137" s="289"/>
      <c r="F137" s="277"/>
      <c r="G137" s="293">
        <v>500000</v>
      </c>
      <c r="H137" s="294"/>
      <c r="I137" s="295"/>
      <c r="J137" s="277"/>
      <c r="K137" s="277"/>
      <c r="L137" s="277"/>
      <c r="M137" s="277"/>
      <c r="N137" s="277"/>
      <c r="O137" s="277"/>
      <c r="P137" s="277"/>
      <c r="Q137" s="266"/>
      <c r="R137" s="267"/>
    </row>
    <row r="138" spans="1:18" ht="12.75">
      <c r="A138" s="300"/>
      <c r="B138" s="291"/>
      <c r="C138" s="291"/>
      <c r="D138" s="270" t="s">
        <v>114</v>
      </c>
      <c r="E138" s="85"/>
      <c r="F138" s="277"/>
      <c r="G138" s="306"/>
      <c r="H138" s="306">
        <v>8500000</v>
      </c>
      <c r="I138" s="277"/>
      <c r="J138" s="277"/>
      <c r="K138" s="277"/>
      <c r="L138" s="277"/>
      <c r="M138" s="277"/>
      <c r="N138" s="277"/>
      <c r="O138" s="277"/>
      <c r="P138" s="277"/>
      <c r="Q138" s="266"/>
      <c r="R138" s="247"/>
    </row>
    <row r="139" spans="1:18" ht="38.25">
      <c r="A139" s="274">
        <v>9</v>
      </c>
      <c r="B139" s="275" t="s">
        <v>342</v>
      </c>
      <c r="C139" s="276" t="s">
        <v>343</v>
      </c>
      <c r="D139" s="265"/>
      <c r="E139" s="307" t="s">
        <v>344</v>
      </c>
      <c r="F139" s="243"/>
      <c r="G139" s="243">
        <v>300000</v>
      </c>
      <c r="H139" s="243">
        <v>300000</v>
      </c>
      <c r="I139" s="243"/>
      <c r="J139" s="243"/>
      <c r="K139" s="243"/>
      <c r="L139" s="243"/>
      <c r="M139" s="243"/>
      <c r="N139" s="243"/>
      <c r="O139" s="243"/>
      <c r="P139" s="243"/>
      <c r="Q139" s="266"/>
      <c r="R139" s="247"/>
    </row>
    <row r="140" spans="1:18" ht="38.25">
      <c r="A140" s="282"/>
      <c r="B140" s="283"/>
      <c r="C140" s="276" t="s">
        <v>345</v>
      </c>
      <c r="D140" s="268"/>
      <c r="E140" s="308"/>
      <c r="F140" s="243"/>
      <c r="G140" s="243"/>
      <c r="H140" s="243">
        <v>21000000</v>
      </c>
      <c r="I140" s="243"/>
      <c r="J140" s="243"/>
      <c r="K140" s="243"/>
      <c r="L140" s="243"/>
      <c r="M140" s="243"/>
      <c r="N140" s="243"/>
      <c r="O140" s="243"/>
      <c r="P140" s="243"/>
      <c r="Q140" s="266"/>
      <c r="R140" s="247"/>
    </row>
    <row r="141" spans="1:18" ht="63.75">
      <c r="A141" s="282"/>
      <c r="B141" s="283"/>
      <c r="C141" s="276" t="s">
        <v>346</v>
      </c>
      <c r="D141" s="269"/>
      <c r="E141" s="308"/>
      <c r="F141" s="243"/>
      <c r="G141" s="243"/>
      <c r="H141" s="104"/>
      <c r="I141" s="293">
        <v>300000000</v>
      </c>
      <c r="J141" s="309"/>
      <c r="K141" s="309"/>
      <c r="L141" s="310"/>
      <c r="M141" s="243"/>
      <c r="N141" s="243"/>
      <c r="O141" s="243"/>
      <c r="P141" s="104"/>
      <c r="Q141" s="266"/>
      <c r="R141" s="247"/>
    </row>
    <row r="142" spans="1:18" ht="12.75">
      <c r="A142" s="300"/>
      <c r="B142" s="291"/>
      <c r="C142" s="276"/>
      <c r="D142" s="270" t="s">
        <v>114</v>
      </c>
      <c r="E142" s="311"/>
      <c r="F142" s="243"/>
      <c r="G142" s="250">
        <v>300000</v>
      </c>
      <c r="H142" s="250">
        <v>21300000</v>
      </c>
      <c r="I142" s="250">
        <v>75000000</v>
      </c>
      <c r="J142" s="250">
        <v>75000000</v>
      </c>
      <c r="K142" s="250">
        <v>75000000</v>
      </c>
      <c r="L142" s="250">
        <v>75000000</v>
      </c>
      <c r="M142" s="250"/>
      <c r="N142" s="250"/>
      <c r="O142" s="250"/>
      <c r="P142" s="104"/>
      <c r="Q142" s="266"/>
      <c r="R142" s="247"/>
    </row>
    <row r="143" spans="1:18" ht="38.25">
      <c r="A143" s="274">
        <v>10</v>
      </c>
      <c r="B143" s="275" t="s">
        <v>347</v>
      </c>
      <c r="C143" s="276" t="s">
        <v>343</v>
      </c>
      <c r="D143" s="265"/>
      <c r="E143" s="307" t="s">
        <v>344</v>
      </c>
      <c r="F143" s="243"/>
      <c r="G143" s="243">
        <v>300000</v>
      </c>
      <c r="H143" s="243"/>
      <c r="I143" s="104"/>
      <c r="J143" s="243"/>
      <c r="K143" s="243"/>
      <c r="L143" s="243"/>
      <c r="M143" s="243"/>
      <c r="N143" s="243"/>
      <c r="O143" s="243"/>
      <c r="P143" s="243"/>
      <c r="Q143" s="266"/>
      <c r="R143" s="247"/>
    </row>
    <row r="144" spans="1:18" ht="38.25">
      <c r="A144" s="282"/>
      <c r="B144" s="283"/>
      <c r="C144" s="276" t="s">
        <v>345</v>
      </c>
      <c r="D144" s="269"/>
      <c r="E144" s="308"/>
      <c r="F144" s="243"/>
      <c r="G144" s="104"/>
      <c r="H144" s="243">
        <v>21000000</v>
      </c>
      <c r="I144" s="104"/>
      <c r="J144" s="243"/>
      <c r="K144" s="243"/>
      <c r="L144" s="243"/>
      <c r="M144" s="243"/>
      <c r="N144" s="243"/>
      <c r="O144" s="243"/>
      <c r="P144" s="243"/>
      <c r="Q144" s="266"/>
      <c r="R144" s="247"/>
    </row>
    <row r="145" spans="1:18" ht="12.75">
      <c r="A145" s="300"/>
      <c r="B145" s="291"/>
      <c r="C145" s="276"/>
      <c r="D145" s="270" t="s">
        <v>114</v>
      </c>
      <c r="E145" s="311"/>
      <c r="F145" s="243"/>
      <c r="G145" s="250">
        <v>300000</v>
      </c>
      <c r="H145" s="250">
        <v>21000000</v>
      </c>
      <c r="I145" s="104"/>
      <c r="J145" s="243"/>
      <c r="K145" s="243"/>
      <c r="L145" s="243"/>
      <c r="M145" s="243"/>
      <c r="N145" s="243"/>
      <c r="O145" s="243"/>
      <c r="P145" s="243"/>
      <c r="Q145" s="266"/>
      <c r="R145" s="247"/>
    </row>
    <row r="146" spans="1:18" ht="18">
      <c r="A146" s="312"/>
      <c r="B146" s="276"/>
      <c r="C146" s="313" t="s">
        <v>348</v>
      </c>
      <c r="D146" s="314"/>
      <c r="E146" s="315"/>
      <c r="F146" s="250">
        <f>F145+F142+F138+F120+F119+F118+F107+F95+F77+F59+F41+F23+F5</f>
        <v>100000</v>
      </c>
      <c r="G146" s="250">
        <f aca="true" t="shared" si="0" ref="G146:P146">G145+G142+G138+G120+G119+G118+G107+G95+G77+G59+G41+G23+G5</f>
        <v>14920710</v>
      </c>
      <c r="H146" s="250">
        <f t="shared" si="0"/>
        <v>63299068</v>
      </c>
      <c r="I146" s="250">
        <f t="shared" si="0"/>
        <v>83269968</v>
      </c>
      <c r="J146" s="250">
        <f t="shared" si="0"/>
        <v>85121101.33333333</v>
      </c>
      <c r="K146" s="250">
        <f t="shared" si="0"/>
        <v>82903301.33333333</v>
      </c>
      <c r="L146" s="250">
        <f t="shared" si="0"/>
        <v>82903301.33333333</v>
      </c>
      <c r="M146" s="250">
        <f t="shared" si="0"/>
        <v>4064668</v>
      </c>
      <c r="N146" s="250">
        <f t="shared" si="0"/>
        <v>8539068</v>
      </c>
      <c r="O146" s="250">
        <f t="shared" si="0"/>
        <v>2809968</v>
      </c>
      <c r="P146" s="250">
        <f t="shared" si="0"/>
        <v>19629968</v>
      </c>
      <c r="Q146" s="266"/>
      <c r="R146" s="247"/>
    </row>
    <row r="147" spans="1:18" ht="12.75">
      <c r="A147" s="312"/>
      <c r="B147" s="276"/>
      <c r="C147" s="276"/>
      <c r="D147" s="277"/>
      <c r="E147" s="277"/>
      <c r="F147" s="243"/>
      <c r="G147" s="243"/>
      <c r="H147" s="243"/>
      <c r="I147" s="243"/>
      <c r="J147" s="243"/>
      <c r="K147" s="243"/>
      <c r="L147" s="243"/>
      <c r="M147" s="243"/>
      <c r="N147" s="243"/>
      <c r="O147" s="243"/>
      <c r="P147" s="243"/>
      <c r="Q147" s="266"/>
      <c r="R147" s="247"/>
    </row>
    <row r="148" spans="1:18" ht="12.75">
      <c r="A148" s="312"/>
      <c r="B148" s="276"/>
      <c r="C148" s="276"/>
      <c r="D148" s="277"/>
      <c r="E148" s="277"/>
      <c r="F148" s="243"/>
      <c r="G148" s="243"/>
      <c r="H148" s="243"/>
      <c r="I148" s="243"/>
      <c r="J148" s="243"/>
      <c r="K148" s="243"/>
      <c r="L148" s="243"/>
      <c r="M148" s="243"/>
      <c r="N148" s="243"/>
      <c r="O148" s="243"/>
      <c r="P148" s="243"/>
      <c r="Q148" s="266"/>
      <c r="R148" s="247"/>
    </row>
    <row r="149" spans="1:18" ht="12.75">
      <c r="A149" s="312"/>
      <c r="B149" s="276"/>
      <c r="C149" s="276"/>
      <c r="D149" s="277"/>
      <c r="E149" s="277"/>
      <c r="F149" s="243"/>
      <c r="G149" s="243"/>
      <c r="H149" s="243"/>
      <c r="I149" s="243"/>
      <c r="J149" s="243"/>
      <c r="K149" s="243"/>
      <c r="L149" s="243"/>
      <c r="M149" s="243"/>
      <c r="N149" s="243"/>
      <c r="O149" s="243"/>
      <c r="P149" s="243"/>
      <c r="Q149" s="266"/>
      <c r="R149" s="247"/>
    </row>
  </sheetData>
  <mergeCells count="103">
    <mergeCell ref="C146:E146"/>
    <mergeCell ref="A143:A145"/>
    <mergeCell ref="B143:B145"/>
    <mergeCell ref="D143:D144"/>
    <mergeCell ref="E143:E145"/>
    <mergeCell ref="G137:I137"/>
    <mergeCell ref="A139:A142"/>
    <mergeCell ref="B139:B142"/>
    <mergeCell ref="D139:D141"/>
    <mergeCell ref="E139:E142"/>
    <mergeCell ref="I141:L141"/>
    <mergeCell ref="G133:I133"/>
    <mergeCell ref="G134:I134"/>
    <mergeCell ref="G135:I135"/>
    <mergeCell ref="G136:I136"/>
    <mergeCell ref="G129:I129"/>
    <mergeCell ref="G130:I130"/>
    <mergeCell ref="G131:I131"/>
    <mergeCell ref="G132:I132"/>
    <mergeCell ref="G125:I125"/>
    <mergeCell ref="G126:I126"/>
    <mergeCell ref="G127:I127"/>
    <mergeCell ref="G128:I128"/>
    <mergeCell ref="G121:I121"/>
    <mergeCell ref="G122:I122"/>
    <mergeCell ref="G123:I123"/>
    <mergeCell ref="G124:I124"/>
    <mergeCell ref="B119:B138"/>
    <mergeCell ref="A121:A138"/>
    <mergeCell ref="C121:C138"/>
    <mergeCell ref="E121:E138"/>
    <mergeCell ref="C108:C118"/>
    <mergeCell ref="E108:E118"/>
    <mergeCell ref="H109:L109"/>
    <mergeCell ref="H110:L110"/>
    <mergeCell ref="H112:L112"/>
    <mergeCell ref="H113:L113"/>
    <mergeCell ref="H114:L114"/>
    <mergeCell ref="H115:L115"/>
    <mergeCell ref="H116:L116"/>
    <mergeCell ref="H117:L117"/>
    <mergeCell ref="F103:G103"/>
    <mergeCell ref="F104:G104"/>
    <mergeCell ref="F105:G105"/>
    <mergeCell ref="F106:G106"/>
    <mergeCell ref="F99:G99"/>
    <mergeCell ref="F100:G100"/>
    <mergeCell ref="F101:G101"/>
    <mergeCell ref="F102:G102"/>
    <mergeCell ref="N78:N94"/>
    <mergeCell ref="O78:O94"/>
    <mergeCell ref="P78:P94"/>
    <mergeCell ref="A96:A118"/>
    <mergeCell ref="B96:B118"/>
    <mergeCell ref="F96:P96"/>
    <mergeCell ref="C97:C107"/>
    <mergeCell ref="E97:E107"/>
    <mergeCell ref="F97:G97"/>
    <mergeCell ref="F98:G98"/>
    <mergeCell ref="J78:J94"/>
    <mergeCell ref="K78:K94"/>
    <mergeCell ref="L78:L94"/>
    <mergeCell ref="M78:M94"/>
    <mergeCell ref="F78:F94"/>
    <mergeCell ref="G78:G94"/>
    <mergeCell ref="H78:H94"/>
    <mergeCell ref="I78:I94"/>
    <mergeCell ref="E60:E77"/>
    <mergeCell ref="A78:A95"/>
    <mergeCell ref="B78:B95"/>
    <mergeCell ref="C78:C95"/>
    <mergeCell ref="D78:D94"/>
    <mergeCell ref="E78:E95"/>
    <mergeCell ref="M42:M58"/>
    <mergeCell ref="N42:N58"/>
    <mergeCell ref="O42:O58"/>
    <mergeCell ref="P42:P58"/>
    <mergeCell ref="I42:I58"/>
    <mergeCell ref="J42:J58"/>
    <mergeCell ref="K42:K58"/>
    <mergeCell ref="L42:L58"/>
    <mergeCell ref="E42:E59"/>
    <mergeCell ref="F42:F58"/>
    <mergeCell ref="G42:G58"/>
    <mergeCell ref="H42:H58"/>
    <mergeCell ref="A42:A77"/>
    <mergeCell ref="B42:B77"/>
    <mergeCell ref="C42:C59"/>
    <mergeCell ref="D42:D58"/>
    <mergeCell ref="C60:C77"/>
    <mergeCell ref="A6:A41"/>
    <mergeCell ref="B6:B41"/>
    <mergeCell ref="C6:C23"/>
    <mergeCell ref="E6:E23"/>
    <mergeCell ref="C24:C41"/>
    <mergeCell ref="E24:E41"/>
    <mergeCell ref="A1:P1"/>
    <mergeCell ref="A3:A4"/>
    <mergeCell ref="B3:B4"/>
    <mergeCell ref="C3:C4"/>
    <mergeCell ref="D3:D4"/>
    <mergeCell ref="E3:E4"/>
    <mergeCell ref="F3:P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Użytkownik</cp:lastModifiedBy>
  <dcterms:created xsi:type="dcterms:W3CDTF">2004-07-08T09:25:15Z</dcterms:created>
  <dcterms:modified xsi:type="dcterms:W3CDTF">2004-07-08T10:30:31Z</dcterms:modified>
  <cp:category/>
  <cp:version/>
  <cp:contentType/>
  <cp:contentStatus/>
</cp:coreProperties>
</file>